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3500" windowHeight="8535" activeTab="0"/>
  </bookViews>
  <sheets>
    <sheet name="TAB RIASSUNTIVA" sheetId="1" r:id="rId1"/>
    <sheet name="CRED FAMIGLIE" sheetId="2" r:id="rId2"/>
    <sheet name="CRED AZIENDE LAV" sheetId="3" r:id="rId3"/>
    <sheet name="CRED INVEST AZIENDE" sheetId="4" r:id="rId4"/>
    <sheet name="LOTTA EVAS FISC" sheetId="5" r:id="rId5"/>
    <sheet name="SOCIAL CARD" sheetId="6" r:id="rId6"/>
  </sheets>
  <definedNames/>
  <calcPr fullCalcOnLoad="1"/>
</workbook>
</file>

<file path=xl/sharedStrings.xml><?xml version="1.0" encoding="utf-8"?>
<sst xmlns="http://schemas.openxmlformats.org/spreadsheetml/2006/main" count="364" uniqueCount="157">
  <si>
    <t>Mld Investimenti</t>
  </si>
  <si>
    <t>Famiglie Milioni</t>
  </si>
  <si>
    <t>Famiglie</t>
  </si>
  <si>
    <t>Interesse Scalare</t>
  </si>
  <si>
    <t>Interesse Fisso</t>
  </si>
  <si>
    <t>Debito Stato             Mld Euro</t>
  </si>
  <si>
    <t>Mld Euro</t>
  </si>
  <si>
    <t>Rata Mensile Famiglia Euro</t>
  </si>
  <si>
    <t>Progress. Mesi di Rateazione</t>
  </si>
  <si>
    <t>Carta credito FAMIGLIE Tasso 0                        (Tan=0 Tag=0)rimborso 1anno</t>
  </si>
  <si>
    <t>Euro di interessi</t>
  </si>
  <si>
    <t xml:space="preserve">CARTA di CREDITO FAMIGLIE Tasso Fisso 2,54% ( Scalare 6% ) </t>
  </si>
  <si>
    <t>IMPORTO RESIDUO</t>
  </si>
  <si>
    <t>Interesse % Fisso</t>
  </si>
  <si>
    <t>Quota di Interesse Residuo</t>
  </si>
  <si>
    <t>PRESTITO DA FINANZIARE          1 ANNO   Euro</t>
  </si>
  <si>
    <t>Euro x Persona</t>
  </si>
  <si>
    <t>Euro</t>
  </si>
  <si>
    <t>Totale Euro</t>
  </si>
  <si>
    <t>Minimo per Famiglia</t>
  </si>
  <si>
    <t>Alternativa 1</t>
  </si>
  <si>
    <t>Alternativa 2</t>
  </si>
  <si>
    <t>Totale</t>
  </si>
  <si>
    <t>Euro Famiglia (vedi     altern. 1-2)</t>
  </si>
  <si>
    <t>FABBISOGNO</t>
  </si>
  <si>
    <t>Lavoratori</t>
  </si>
  <si>
    <t>Lavoratori Milioni</t>
  </si>
  <si>
    <t>Euro Lavoratore (vedi     altern. 1-2)</t>
  </si>
  <si>
    <t>Carta credito Lavoratori Tasso 0                        (Tan=0 Tag=0)rimborso 1anno</t>
  </si>
  <si>
    <t>Rata Mensile Lavoratore Euro</t>
  </si>
  <si>
    <t xml:space="preserve">CARTA di CREDITO AZIENDE x LAVORATORE OCCUPATO Tasso Fisso 2,54% ( Scalare 6% ) 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</si>
  <si>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</si>
  <si>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</si>
  <si>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</si>
  <si>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</si>
  <si>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</si>
  <si>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</si>
  <si>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</si>
  <si>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</si>
  <si>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</si>
  <si>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</si>
  <si>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</si>
  <si>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</si>
  <si>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</si>
  <si>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RATA DEBITO PUBBLICO</t>
  </si>
  <si>
    <t>Totale Debito</t>
  </si>
  <si>
    <t>Euro             Prest. Fam.</t>
  </si>
  <si>
    <t>Rata Mensile Debito Pubblico Euro</t>
  </si>
  <si>
    <t>CREDITO FAMIGLIE</t>
  </si>
  <si>
    <t>Personale Guardia Finanza</t>
  </si>
  <si>
    <t>Personale Ministero Finanza</t>
  </si>
  <si>
    <t>Personale Ministero Giustizia</t>
  </si>
  <si>
    <t>Personale Polizia Giudiziaria</t>
  </si>
  <si>
    <t>Personale Ministero Interno</t>
  </si>
  <si>
    <t>Personale Polizia di Stato</t>
  </si>
  <si>
    <t>TOTALE</t>
  </si>
  <si>
    <t>LOTTA EVASIONE FISCALE, PIZZO, MAFIA, CAMORRA, TRAFFICI ILLECITI, DROGA</t>
  </si>
  <si>
    <t>Personale Ministero Sanità</t>
  </si>
  <si>
    <t>Costi posto lavoro</t>
  </si>
  <si>
    <t>Personale Revisore Conti</t>
  </si>
  <si>
    <t>Personale Polizia Penitenziaria</t>
  </si>
  <si>
    <t>Euro Anno</t>
  </si>
  <si>
    <t>Personale</t>
  </si>
  <si>
    <t>Costo Personale annuo</t>
  </si>
  <si>
    <t>Costi Carcerato Penitenziario</t>
  </si>
  <si>
    <t>Nuovi Carcerati</t>
  </si>
  <si>
    <t>Pasto e varie</t>
  </si>
  <si>
    <t>Infrastrutture</t>
  </si>
  <si>
    <t>Euro Giorno</t>
  </si>
  <si>
    <t>Totale costi giorno Carcerato</t>
  </si>
  <si>
    <t>Costi Vari</t>
  </si>
  <si>
    <t>Totale costi Anno Carcerato</t>
  </si>
  <si>
    <t>Totale costi Anno Carcerati</t>
  </si>
  <si>
    <t>SPESE AMMIN. CARCERARIA</t>
  </si>
  <si>
    <t>TOTALE DEBITO PUBBLICO</t>
  </si>
  <si>
    <t>LAVORO DETENUTI</t>
  </si>
  <si>
    <t>Euro Mese</t>
  </si>
  <si>
    <t>Rimorso spese Detentive</t>
  </si>
  <si>
    <t>Euro h</t>
  </si>
  <si>
    <t>Netto LAVORO DETENUTI</t>
  </si>
  <si>
    <t>Manovali</t>
  </si>
  <si>
    <t>Qualificati</t>
  </si>
  <si>
    <t>Specializzati</t>
  </si>
  <si>
    <t>Quadri</t>
  </si>
  <si>
    <t>Impiegati</t>
  </si>
  <si>
    <t>Costomedio</t>
  </si>
  <si>
    <t>h Giorno</t>
  </si>
  <si>
    <t>Numero %</t>
  </si>
  <si>
    <t>detenuti</t>
  </si>
  <si>
    <t>Costo Medio Detenuto senza recupero economico</t>
  </si>
  <si>
    <t>Costo Medio Detenuto con recupero economico</t>
  </si>
  <si>
    <t>Totale annuo</t>
  </si>
  <si>
    <t>LAVORO DETENUTI e PREVIDENZA</t>
  </si>
  <si>
    <t>SPESE AMMINISTRAZIONE CARCERARIA NUOVI DETUNUTI</t>
  </si>
  <si>
    <t>LOTTA EVASIONE FISCALE, PIZZO, MAFIA, CAMORRA, TRAFFICI ILLECITI, DROGA, CORRUZIONE</t>
  </si>
  <si>
    <t>SPESE STRUTTURE COMUNITA' RECUPERO TOSSICODIPENDENZE</t>
  </si>
  <si>
    <t>Tossicodipendenti</t>
  </si>
  <si>
    <t>Totale costi giorno Tossicodipendente</t>
  </si>
  <si>
    <t>Totale costi Anno Tossicodip.</t>
  </si>
  <si>
    <t>Totale costi Anno X Tossicodip.</t>
  </si>
  <si>
    <t>LAVORO TOSSICODIP.  e PREVIDENZA</t>
  </si>
  <si>
    <t>Costi Tossicodipendenti</t>
  </si>
  <si>
    <t>Costi Case Famiglia</t>
  </si>
  <si>
    <t>SPESE STRUTTURE COMUNITA' CASAFAMIGLIA</t>
  </si>
  <si>
    <t>Degenti Igiene Mentale</t>
  </si>
  <si>
    <t>LAVORO Degenti Igiene Mentale  e PREVIDENZA</t>
  </si>
  <si>
    <t>Rimorso spese Degenza</t>
  </si>
  <si>
    <t>Degenti</t>
  </si>
  <si>
    <t>Netto LAVORO DEGENTI</t>
  </si>
  <si>
    <t>LAVORO DEGENTI</t>
  </si>
  <si>
    <t>Rimorso spese Tossicodipendenti</t>
  </si>
  <si>
    <t>Netto LAVORO TOSSICODIPENDENTI</t>
  </si>
  <si>
    <t>LAVORO TOSSICODIPENDENTI</t>
  </si>
  <si>
    <t>Totale costi giorno Degente</t>
  </si>
  <si>
    <t>Totale costi Anno X Degente</t>
  </si>
  <si>
    <t>Totale costi Anno Degente</t>
  </si>
  <si>
    <t>Costo Medio Degente senza recupero economico</t>
  </si>
  <si>
    <t>Costo Medio Degente con recupero economico</t>
  </si>
  <si>
    <t>SPESE INVESTIMENTI per la RIPRESA</t>
  </si>
  <si>
    <t xml:space="preserve">CARTA di CREDITO AZIENDE x INVESTIMENTI e RICERCA Tasso Fisso 2,54% ( Scalare 6% ) </t>
  </si>
  <si>
    <t>Adeguamento Edifici Scolastici</t>
  </si>
  <si>
    <t>Adeguamenti Opere Pubbliche</t>
  </si>
  <si>
    <t>Trasformazione Linee Feroviarie in Metropolitane Superfice</t>
  </si>
  <si>
    <t>Bari-Martina</t>
  </si>
  <si>
    <t>Taranto-Martina</t>
  </si>
  <si>
    <t>Bari Matera</t>
  </si>
  <si>
    <t>Km</t>
  </si>
  <si>
    <t>Totale Puglia</t>
  </si>
  <si>
    <t>Altre Reguioni</t>
  </si>
  <si>
    <t>Bari Foggia</t>
  </si>
  <si>
    <t>Bari Brindisi</t>
  </si>
  <si>
    <t>Brindisi Lecce</t>
  </si>
  <si>
    <t>Euro Km</t>
  </si>
  <si>
    <t>Mld</t>
  </si>
  <si>
    <t>Totale Nazionale</t>
  </si>
  <si>
    <t>Traffico Pendolari</t>
  </si>
  <si>
    <t>Programmazione Anni</t>
  </si>
  <si>
    <t>Adeguamento Stade</t>
  </si>
  <si>
    <t xml:space="preserve">SOCIAL CARD Tasso Fisso 2,54% ( Scalare 6% ) </t>
  </si>
  <si>
    <t>FABBISOGNO 2008</t>
  </si>
  <si>
    <t>CITTADINI REDDITO INFERIORE 800 EURO</t>
  </si>
  <si>
    <t>FABBISOGNO 2009</t>
  </si>
  <si>
    <t>LAVORATORI</t>
  </si>
  <si>
    <t>LAVORATORI Milioni</t>
  </si>
  <si>
    <t>Euro LAVORATORE (vedi     altern. 1-2)</t>
  </si>
  <si>
    <t>CREDITO AZIENDE per LAVORATORE OCCUPATO</t>
  </si>
  <si>
    <t>Totale Annuo</t>
  </si>
  <si>
    <t>Euro Totale Annuo</t>
  </si>
  <si>
    <t>CAPITALE DEBITO PUBBLICO</t>
  </si>
  <si>
    <t>INTERESSE</t>
  </si>
  <si>
    <t>CAPITALE</t>
  </si>
  <si>
    <t>INTER.+CAPIT.</t>
  </si>
  <si>
    <t>SOCIAL CARD</t>
  </si>
  <si>
    <t>Carta credito FAMIGLIE                       Tasso 0                        (Tan=0 Tag=0)rimborso 1anno</t>
  </si>
  <si>
    <t>Carta credito AZIENDE Tasso 0                        (Tan=0 Tag=0)rimborso 1anno</t>
  </si>
  <si>
    <t>CREDITO AZIENDE per INVESTIMENTO INNOVAZIONE, RICERCA, C.TO LAVORAZIONE x LAVORAT. OCCUP.</t>
  </si>
  <si>
    <t>TABELLA RIASSUNTIVA SPESE INVESTIMENTI per la RIPRESA 16,1 Mld di Euro per un CREDITO DI OLTRE 40 Mld ai CITTADINI PER IL RILANCIO DEI CONSUMI e 180 Mld alle IMPRESE per il CREDITO e gli INVESTIMENTI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</si>
</sst>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_-* #,##0.000_-;\-* #,##0.0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2" fontId="0" fillId="0" borderId="32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46" xfId="0" applyBorder="1" applyAlignment="1">
      <alignment/>
    </xf>
    <xf numFmtId="168" fontId="0" fillId="0" borderId="47" xfId="0" applyNumberFormat="1" applyBorder="1" applyAlignment="1">
      <alignment/>
    </xf>
    <xf numFmtId="0" fontId="0" fillId="0" borderId="2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/>
    </xf>
    <xf numFmtId="2" fontId="0" fillId="2" borderId="58" xfId="0" applyNumberFormat="1" applyFill="1" applyBorder="1" applyAlignment="1">
      <alignment/>
    </xf>
    <xf numFmtId="2" fontId="0" fillId="2" borderId="59" xfId="0" applyNumberFormat="1" applyFill="1" applyBorder="1" applyAlignment="1">
      <alignment/>
    </xf>
    <xf numFmtId="2" fontId="0" fillId="2" borderId="57" xfId="0" applyNumberFormat="1" applyFill="1" applyBorder="1" applyAlignment="1">
      <alignment/>
    </xf>
    <xf numFmtId="0" fontId="0" fillId="2" borderId="40" xfId="0" applyFill="1" applyBorder="1" applyAlignment="1">
      <alignment horizontal="center" vertical="center" wrapText="1"/>
    </xf>
    <xf numFmtId="2" fontId="0" fillId="2" borderId="38" xfId="0" applyNumberFormat="1" applyFill="1" applyBorder="1" applyAlignment="1">
      <alignment/>
    </xf>
    <xf numFmtId="0" fontId="0" fillId="2" borderId="37" xfId="0" applyFill="1" applyBorder="1" applyAlignment="1">
      <alignment horizontal="center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3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9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43" xfId="0" applyNumberFormat="1" applyFill="1" applyBorder="1" applyAlignment="1">
      <alignment/>
    </xf>
    <xf numFmtId="2" fontId="0" fillId="2" borderId="42" xfId="0" applyNumberFormat="1" applyFill="1" applyBorder="1" applyAlignment="1">
      <alignment/>
    </xf>
    <xf numFmtId="0" fontId="0" fillId="2" borderId="57" xfId="0" applyFill="1" applyBorder="1" applyAlignment="1">
      <alignment/>
    </xf>
    <xf numFmtId="0" fontId="0" fillId="2" borderId="41" xfId="0" applyFill="1" applyBorder="1" applyAlignment="1">
      <alignment vertical="center" wrapText="1"/>
    </xf>
    <xf numFmtId="0" fontId="0" fillId="2" borderId="37" xfId="0" applyFill="1" applyBorder="1" applyAlignment="1">
      <alignment horizontal="center" vertical="center" wrapText="1"/>
    </xf>
    <xf numFmtId="2" fontId="0" fillId="2" borderId="36" xfId="0" applyNumberFormat="1" applyFill="1" applyBorder="1" applyAlignment="1">
      <alignment/>
    </xf>
    <xf numFmtId="0" fontId="0" fillId="2" borderId="44" xfId="0" applyFill="1" applyBorder="1" applyAlignment="1">
      <alignment/>
    </xf>
    <xf numFmtId="2" fontId="0" fillId="2" borderId="47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0" fontId="0" fillId="2" borderId="60" xfId="0" applyFill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0" fillId="2" borderId="61" xfId="0" applyFill="1" applyBorder="1" applyAlignment="1">
      <alignment/>
    </xf>
    <xf numFmtId="2" fontId="0" fillId="2" borderId="32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34" xfId="0" applyNumberFormat="1" applyFill="1" applyBorder="1" applyAlignment="1">
      <alignment/>
    </xf>
    <xf numFmtId="2" fontId="0" fillId="2" borderId="62" xfId="0" applyNumberFormat="1" applyFill="1" applyBorder="1" applyAlignment="1">
      <alignment/>
    </xf>
    <xf numFmtId="0" fontId="0" fillId="2" borderId="63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175" fontId="0" fillId="2" borderId="64" xfId="15" applyNumberFormat="1" applyFill="1" applyBorder="1" applyAlignment="1">
      <alignment/>
    </xf>
    <xf numFmtId="43" fontId="0" fillId="2" borderId="47" xfId="15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65" xfId="0" applyFill="1" applyBorder="1" applyAlignment="1">
      <alignment vertical="center" wrapText="1"/>
    </xf>
    <xf numFmtId="0" fontId="0" fillId="2" borderId="66" xfId="0" applyFill="1" applyBorder="1" applyAlignment="1">
      <alignment/>
    </xf>
    <xf numFmtId="0" fontId="0" fillId="2" borderId="67" xfId="0" applyFill="1" applyBorder="1" applyAlignment="1">
      <alignment/>
    </xf>
    <xf numFmtId="2" fontId="0" fillId="2" borderId="68" xfId="0" applyNumberForma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65" xfId="0" applyFill="1" applyBorder="1" applyAlignment="1">
      <alignment horizontal="center" vertical="center" wrapText="1"/>
    </xf>
    <xf numFmtId="0" fontId="0" fillId="2" borderId="58" xfId="0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39" xfId="0" applyNumberFormat="1" applyFill="1" applyBorder="1" applyAlignment="1">
      <alignment/>
    </xf>
    <xf numFmtId="0" fontId="0" fillId="2" borderId="69" xfId="0" applyFill="1" applyBorder="1" applyAlignment="1">
      <alignment horizontal="center" vertical="center" wrapText="1"/>
    </xf>
    <xf numFmtId="0" fontId="0" fillId="2" borderId="70" xfId="0" applyFill="1" applyBorder="1" applyAlignment="1">
      <alignment/>
    </xf>
    <xf numFmtId="2" fontId="0" fillId="2" borderId="71" xfId="0" applyNumberFormat="1" applyFill="1" applyBorder="1" applyAlignment="1">
      <alignment/>
    </xf>
    <xf numFmtId="0" fontId="0" fillId="2" borderId="72" xfId="0" applyFill="1" applyBorder="1" applyAlignment="1">
      <alignment/>
    </xf>
    <xf numFmtId="2" fontId="0" fillId="2" borderId="37" xfId="0" applyNumberForma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2" fontId="0" fillId="2" borderId="38" xfId="0" applyNumberFormat="1" applyFill="1" applyBorder="1" applyAlignment="1">
      <alignment vertical="center" wrapText="1"/>
    </xf>
    <xf numFmtId="0" fontId="0" fillId="2" borderId="74" xfId="0" applyFill="1" applyBorder="1" applyAlignment="1">
      <alignment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2" fontId="0" fillId="0" borderId="66" xfId="0" applyNumberForma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75" xfId="0" applyNumberFormat="1" applyBorder="1" applyAlignment="1">
      <alignment wrapText="1"/>
    </xf>
    <xf numFmtId="0" fontId="0" fillId="0" borderId="76" xfId="0" applyBorder="1" applyAlignment="1">
      <alignment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wrapText="1"/>
    </xf>
    <xf numFmtId="0" fontId="2" fillId="2" borderId="79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" fontId="0" fillId="0" borderId="21" xfId="0" applyNumberFormat="1" applyBorder="1" applyAlignment="1">
      <alignment wrapText="1"/>
    </xf>
    <xf numFmtId="2" fontId="0" fillId="0" borderId="35" xfId="0" applyNumberFormat="1" applyBorder="1" applyAlignment="1">
      <alignment wrapText="1"/>
    </xf>
    <xf numFmtId="2" fontId="0" fillId="0" borderId="50" xfId="0" applyNumberForma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2" fontId="0" fillId="0" borderId="22" xfId="0" applyNumberForma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2" fontId="0" fillId="0" borderId="89" xfId="0" applyNumberFormat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2" fontId="0" fillId="0" borderId="67" xfId="0" applyNumberFormat="1" applyBorder="1" applyAlignment="1">
      <alignment wrapText="1"/>
    </xf>
    <xf numFmtId="0" fontId="0" fillId="0" borderId="91" xfId="0" applyBorder="1" applyAlignment="1">
      <alignment wrapText="1"/>
    </xf>
    <xf numFmtId="2" fontId="0" fillId="0" borderId="92" xfId="0" applyNumberFormat="1" applyBorder="1" applyAlignment="1">
      <alignment wrapText="1"/>
    </xf>
    <xf numFmtId="2" fontId="0" fillId="0" borderId="93" xfId="0" applyNumberFormat="1" applyBorder="1" applyAlignment="1">
      <alignment wrapText="1"/>
    </xf>
    <xf numFmtId="0" fontId="0" fillId="0" borderId="7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7109375" style="0" customWidth="1"/>
    <col min="2" max="7" width="14.7109375" style="0" customWidth="1"/>
    <col min="8" max="8" width="15.7109375" style="0" customWidth="1"/>
  </cols>
  <sheetData>
    <row r="1" spans="1:7" ht="30" customHeight="1" thickBot="1">
      <c r="A1" s="183" t="s">
        <v>156</v>
      </c>
      <c r="B1" s="183"/>
      <c r="C1" s="183"/>
      <c r="D1" s="183"/>
      <c r="E1" s="183"/>
      <c r="F1" s="183"/>
      <c r="G1" s="183"/>
    </row>
    <row r="2" spans="1:7" ht="19.5" customHeight="1">
      <c r="A2" s="186" t="s">
        <v>118</v>
      </c>
      <c r="B2" s="186" t="s">
        <v>48</v>
      </c>
      <c r="C2" s="186" t="s">
        <v>145</v>
      </c>
      <c r="D2" s="189" t="s">
        <v>155</v>
      </c>
      <c r="E2" s="189" t="s">
        <v>56</v>
      </c>
      <c r="F2" s="186" t="s">
        <v>152</v>
      </c>
      <c r="G2" s="186" t="s">
        <v>118</v>
      </c>
    </row>
    <row r="3" spans="1:7" ht="19.5" customHeight="1">
      <c r="A3" s="187"/>
      <c r="B3" s="187"/>
      <c r="C3" s="187"/>
      <c r="D3" s="190"/>
      <c r="E3" s="190"/>
      <c r="F3" s="187"/>
      <c r="G3" s="187"/>
    </row>
    <row r="4" spans="1:7" ht="19.5" customHeight="1">
      <c r="A4" s="187"/>
      <c r="B4" s="187"/>
      <c r="C4" s="187"/>
      <c r="D4" s="190"/>
      <c r="E4" s="190"/>
      <c r="F4" s="187"/>
      <c r="G4" s="187"/>
    </row>
    <row r="5" spans="1:7" ht="19.5" customHeight="1" thickBot="1">
      <c r="A5" s="188"/>
      <c r="B5" s="188"/>
      <c r="C5" s="188"/>
      <c r="D5" s="191"/>
      <c r="E5" s="191"/>
      <c r="F5" s="188"/>
      <c r="G5" s="188"/>
    </row>
    <row r="6" spans="1:7" ht="38.25">
      <c r="A6" s="172" t="s">
        <v>31</v>
      </c>
      <c r="B6" s="133" t="s">
        <v>44</v>
      </c>
      <c r="C6" s="121" t="s">
        <v>47</v>
      </c>
      <c r="D6" s="133" t="s">
        <v>44</v>
      </c>
      <c r="E6" s="121" t="s">
        <v>47</v>
      </c>
      <c r="F6" s="176" t="s">
        <v>47</v>
      </c>
      <c r="G6" s="111" t="s">
        <v>74</v>
      </c>
    </row>
    <row r="7" spans="1:7" ht="12.75">
      <c r="A7" s="167"/>
      <c r="B7" s="135"/>
      <c r="C7" s="129"/>
      <c r="D7" s="135"/>
      <c r="E7" s="129"/>
      <c r="F7" s="109"/>
      <c r="G7" s="173"/>
    </row>
    <row r="8" spans="1:7" ht="12.75">
      <c r="A8" s="167" t="s">
        <v>32</v>
      </c>
      <c r="B8" s="175">
        <f>'CRED FAMIGLIE'!J6</f>
        <v>199966712.7625461</v>
      </c>
      <c r="C8" s="136">
        <f>'CRED AZIENDE LAV'!I6</f>
        <v>599900138.2876383</v>
      </c>
      <c r="D8" s="175">
        <f>'CRED INVEST AZIENDE'!J6</f>
        <v>299950069.14381915</v>
      </c>
      <c r="E8" s="136">
        <f>'LOTTA EVAS FISC'!F5</f>
        <v>242218750</v>
      </c>
      <c r="F8" s="174">
        <f>'SOCIAL CARD'!L6</f>
        <v>2999500.691438192</v>
      </c>
      <c r="G8" s="113">
        <f aca="true" t="shared" si="0" ref="G8:G22">SUM(B8:E8)</f>
        <v>1342035670.1940036</v>
      </c>
    </row>
    <row r="9" spans="1:7" ht="12.75">
      <c r="A9" s="167" t="s">
        <v>33</v>
      </c>
      <c r="B9" s="175">
        <f>'CRED FAMIGLIE'!J7</f>
        <v>199966712.7625461</v>
      </c>
      <c r="C9" s="136">
        <f>'CRED AZIENDE LAV'!I7</f>
        <v>599900138.2876383</v>
      </c>
      <c r="D9" s="175">
        <f>'CRED INVEST AZIENDE'!J7</f>
        <v>299950069.14381915</v>
      </c>
      <c r="E9" s="136">
        <f>E8</f>
        <v>242218750</v>
      </c>
      <c r="F9" s="174">
        <f>'SOCIAL CARD'!L7</f>
        <v>2999500.691438192</v>
      </c>
      <c r="G9" s="113">
        <f t="shared" si="0"/>
        <v>1342035670.1940036</v>
      </c>
    </row>
    <row r="10" spans="1:7" ht="12.75">
      <c r="A10" s="167" t="s">
        <v>34</v>
      </c>
      <c r="B10" s="175">
        <f>'CRED FAMIGLIE'!J8</f>
        <v>199966712.7625461</v>
      </c>
      <c r="C10" s="136">
        <f>'CRED AZIENDE LAV'!I8</f>
        <v>599900138.2876383</v>
      </c>
      <c r="D10" s="175">
        <f>'CRED INVEST AZIENDE'!J8</f>
        <v>299950069.14381915</v>
      </c>
      <c r="E10" s="136">
        <f aca="true" t="shared" si="1" ref="E10:E19">E9</f>
        <v>242218750</v>
      </c>
      <c r="F10" s="174">
        <f>'SOCIAL CARD'!L8</f>
        <v>2999500.691438192</v>
      </c>
      <c r="G10" s="113">
        <f t="shared" si="0"/>
        <v>1342035670.1940036</v>
      </c>
    </row>
    <row r="11" spans="1:7" ht="12.75">
      <c r="A11" s="167" t="s">
        <v>35</v>
      </c>
      <c r="B11" s="175">
        <f>'CRED FAMIGLIE'!J9</f>
        <v>199966712.7625461</v>
      </c>
      <c r="C11" s="136">
        <f>'CRED AZIENDE LAV'!I9</f>
        <v>599900138.2876383</v>
      </c>
      <c r="D11" s="175">
        <f>'CRED INVEST AZIENDE'!J9</f>
        <v>299950069.14381915</v>
      </c>
      <c r="E11" s="136">
        <f t="shared" si="1"/>
        <v>242218750</v>
      </c>
      <c r="F11" s="174">
        <f>'SOCIAL CARD'!L9</f>
        <v>2999500.691438192</v>
      </c>
      <c r="G11" s="113">
        <f t="shared" si="0"/>
        <v>1342035670.1940036</v>
      </c>
    </row>
    <row r="12" spans="1:7" ht="12.75">
      <c r="A12" s="167" t="s">
        <v>36</v>
      </c>
      <c r="B12" s="175">
        <f>'CRED FAMIGLIE'!J10</f>
        <v>199966712.7625461</v>
      </c>
      <c r="C12" s="136">
        <f>'CRED AZIENDE LAV'!I10</f>
        <v>599900138.2876383</v>
      </c>
      <c r="D12" s="175">
        <f>'CRED INVEST AZIENDE'!J10</f>
        <v>299950069.14381915</v>
      </c>
      <c r="E12" s="136">
        <f t="shared" si="1"/>
        <v>242218750</v>
      </c>
      <c r="F12" s="174">
        <f>'SOCIAL CARD'!L10</f>
        <v>2999500.691438192</v>
      </c>
      <c r="G12" s="113">
        <f t="shared" si="0"/>
        <v>1342035670.1940036</v>
      </c>
    </row>
    <row r="13" spans="1:7" ht="12.75">
      <c r="A13" s="167" t="s">
        <v>37</v>
      </c>
      <c r="B13" s="175">
        <f>'CRED FAMIGLIE'!J11</f>
        <v>199966712.7625461</v>
      </c>
      <c r="C13" s="136">
        <f>'CRED AZIENDE LAV'!I11</f>
        <v>599900138.2876383</v>
      </c>
      <c r="D13" s="175">
        <f>'CRED INVEST AZIENDE'!J11</f>
        <v>299950069.14381915</v>
      </c>
      <c r="E13" s="136">
        <f t="shared" si="1"/>
        <v>242218750</v>
      </c>
      <c r="F13" s="174">
        <f>'SOCIAL CARD'!L11</f>
        <v>2999500.691438192</v>
      </c>
      <c r="G13" s="113">
        <f t="shared" si="0"/>
        <v>1342035670.1940036</v>
      </c>
    </row>
    <row r="14" spans="1:7" ht="12.75">
      <c r="A14" s="167" t="s">
        <v>38</v>
      </c>
      <c r="B14" s="175">
        <f>'CRED FAMIGLIE'!J12</f>
        <v>199966712.7625461</v>
      </c>
      <c r="C14" s="136">
        <f>'CRED AZIENDE LAV'!I12</f>
        <v>599900138.2876383</v>
      </c>
      <c r="D14" s="175">
        <f>'CRED INVEST AZIENDE'!J12</f>
        <v>299950069.14381915</v>
      </c>
      <c r="E14" s="136">
        <f t="shared" si="1"/>
        <v>242218750</v>
      </c>
      <c r="F14" s="174">
        <f>'SOCIAL CARD'!L12</f>
        <v>2999500.691438192</v>
      </c>
      <c r="G14" s="113">
        <f t="shared" si="0"/>
        <v>1342035670.1940036</v>
      </c>
    </row>
    <row r="15" spans="1:7" ht="12.75">
      <c r="A15" s="167" t="s">
        <v>39</v>
      </c>
      <c r="B15" s="175">
        <f>'CRED FAMIGLIE'!J13</f>
        <v>199966712.7625461</v>
      </c>
      <c r="C15" s="136">
        <f>'CRED AZIENDE LAV'!I13</f>
        <v>599900138.2876383</v>
      </c>
      <c r="D15" s="175">
        <f>'CRED INVEST AZIENDE'!J13</f>
        <v>299950069.14381915</v>
      </c>
      <c r="E15" s="136">
        <f t="shared" si="1"/>
        <v>242218750</v>
      </c>
      <c r="F15" s="174">
        <f>'SOCIAL CARD'!L13</f>
        <v>2999500.691438192</v>
      </c>
      <c r="G15" s="113">
        <f t="shared" si="0"/>
        <v>1342035670.1940036</v>
      </c>
    </row>
    <row r="16" spans="1:7" ht="12.75">
      <c r="A16" s="167" t="s">
        <v>40</v>
      </c>
      <c r="B16" s="175">
        <f>'CRED FAMIGLIE'!J14</f>
        <v>199966712.7625461</v>
      </c>
      <c r="C16" s="136">
        <f>'CRED AZIENDE LAV'!I14</f>
        <v>599900138.2876383</v>
      </c>
      <c r="D16" s="175">
        <f>'CRED INVEST AZIENDE'!J14</f>
        <v>299950069.14381915</v>
      </c>
      <c r="E16" s="136">
        <f t="shared" si="1"/>
        <v>242218750</v>
      </c>
      <c r="F16" s="174">
        <f>'SOCIAL CARD'!L14</f>
        <v>2999500.691438192</v>
      </c>
      <c r="G16" s="113">
        <f t="shared" si="0"/>
        <v>1342035670.1940036</v>
      </c>
    </row>
    <row r="17" spans="1:7" ht="12.75">
      <c r="A17" s="167" t="s">
        <v>41</v>
      </c>
      <c r="B17" s="175">
        <f>'CRED FAMIGLIE'!J15</f>
        <v>199966712.7625461</v>
      </c>
      <c r="C17" s="136">
        <f>'CRED AZIENDE LAV'!I15</f>
        <v>599900138.2876383</v>
      </c>
      <c r="D17" s="175">
        <f>'CRED INVEST AZIENDE'!J15</f>
        <v>299950069.14381915</v>
      </c>
      <c r="E17" s="136">
        <f t="shared" si="1"/>
        <v>242218750</v>
      </c>
      <c r="F17" s="174">
        <f>'SOCIAL CARD'!L15</f>
        <v>2999500.691438192</v>
      </c>
      <c r="G17" s="113">
        <f t="shared" si="0"/>
        <v>1342035670.1940036</v>
      </c>
    </row>
    <row r="18" spans="1:7" ht="12.75">
      <c r="A18" s="167" t="s">
        <v>42</v>
      </c>
      <c r="B18" s="175">
        <f>'CRED FAMIGLIE'!J16</f>
        <v>199966712.7625461</v>
      </c>
      <c r="C18" s="136">
        <f>'CRED AZIENDE LAV'!I16</f>
        <v>599900138.2876383</v>
      </c>
      <c r="D18" s="175">
        <f>'CRED INVEST AZIENDE'!J16</f>
        <v>299950069.14381915</v>
      </c>
      <c r="E18" s="136">
        <f t="shared" si="1"/>
        <v>242218750</v>
      </c>
      <c r="F18" s="174">
        <f>'SOCIAL CARD'!L16</f>
        <v>2999500.691438192</v>
      </c>
      <c r="G18" s="113">
        <f t="shared" si="0"/>
        <v>1342035670.1940036</v>
      </c>
    </row>
    <row r="19" spans="1:7" ht="13.5" thickBot="1">
      <c r="A19" s="168" t="s">
        <v>43</v>
      </c>
      <c r="B19" s="175">
        <f>'CRED FAMIGLIE'!J17</f>
        <v>199966712.7625461</v>
      </c>
      <c r="C19" s="157">
        <f>'CRED AZIENDE LAV'!I17</f>
        <v>599900138.2876383</v>
      </c>
      <c r="D19" s="175">
        <f>'CRED INVEST AZIENDE'!J17</f>
        <v>299950069.14381915</v>
      </c>
      <c r="E19" s="157">
        <f t="shared" si="1"/>
        <v>242218750</v>
      </c>
      <c r="F19" s="174">
        <f>'SOCIAL CARD'!L17</f>
        <v>2999500.691438192</v>
      </c>
      <c r="G19" s="114">
        <f t="shared" si="0"/>
        <v>1342035670.1940036</v>
      </c>
    </row>
    <row r="20" spans="1:7" ht="12.75">
      <c r="A20" s="184" t="s">
        <v>147</v>
      </c>
      <c r="B20" s="177">
        <f>SUM(B8:B19)</f>
        <v>2399600553.150553</v>
      </c>
      <c r="C20" s="146">
        <f>SUM(C8:C19)</f>
        <v>7198801659.451661</v>
      </c>
      <c r="D20" s="117">
        <f>'CRED INVEST AZIENDE'!J17</f>
        <v>299950069.14381915</v>
      </c>
      <c r="E20" s="146">
        <f>SUM(E8:E19)</f>
        <v>2906625000</v>
      </c>
      <c r="F20" s="178">
        <f>'SOCIAL CARD'!L18</f>
        <v>635994008.2972583</v>
      </c>
      <c r="G20" s="146">
        <f t="shared" si="0"/>
        <v>12804977281.746035</v>
      </c>
    </row>
    <row r="21" spans="1:7" ht="13.5" thickBot="1">
      <c r="A21" s="185"/>
      <c r="B21" s="116" t="s">
        <v>45</v>
      </c>
      <c r="C21" s="162"/>
      <c r="D21" s="116" t="s">
        <v>45</v>
      </c>
      <c r="E21" s="162"/>
      <c r="F21" s="179"/>
      <c r="G21" s="180">
        <f t="shared" si="0"/>
        <v>0</v>
      </c>
    </row>
    <row r="22" spans="1:7" ht="12.75">
      <c r="A22" s="144" t="s">
        <v>146</v>
      </c>
      <c r="B22" s="117">
        <f>B20/1000000000</f>
        <v>2.3996005531505533</v>
      </c>
      <c r="C22" s="146">
        <f>C20/1000000000</f>
        <v>7.198801659451661</v>
      </c>
      <c r="D22" s="146">
        <f>'CRED INVEST AZIENDE'!J20</f>
        <v>3.5994008297258304</v>
      </c>
      <c r="E22" s="146">
        <f>E20/1000000000</f>
        <v>2.906625</v>
      </c>
      <c r="F22" s="146">
        <f>F20/1000000000</f>
        <v>0.6359940082972583</v>
      </c>
      <c r="G22" s="146">
        <f t="shared" si="0"/>
        <v>16.104428042328045</v>
      </c>
    </row>
    <row r="23" spans="1:7" ht="13.5" thickBot="1">
      <c r="A23" s="118" t="s">
        <v>6</v>
      </c>
      <c r="B23" s="118" t="s">
        <v>6</v>
      </c>
      <c r="C23" s="171"/>
      <c r="D23" s="118" t="s">
        <v>6</v>
      </c>
      <c r="E23" s="118" t="s">
        <v>6</v>
      </c>
      <c r="F23" s="118" t="s">
        <v>6</v>
      </c>
      <c r="G23" s="171"/>
    </row>
  </sheetData>
  <mergeCells count="9">
    <mergeCell ref="A1:G1"/>
    <mergeCell ref="A20:A21"/>
    <mergeCell ref="G2:G5"/>
    <mergeCell ref="F2:F5"/>
    <mergeCell ref="A2:A5"/>
    <mergeCell ref="B2:B5"/>
    <mergeCell ref="E2:E5"/>
    <mergeCell ref="C2:C5"/>
    <mergeCell ref="D2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I1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10" width="10.7109375" style="0" customWidth="1"/>
  </cols>
  <sheetData>
    <row r="1" spans="1:9" ht="30" customHeight="1" thickBot="1">
      <c r="A1" s="196" t="s">
        <v>11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48"/>
      <c r="B2" s="149" t="s">
        <v>2</v>
      </c>
      <c r="C2" s="149" t="s">
        <v>1</v>
      </c>
      <c r="D2" s="149" t="s">
        <v>23</v>
      </c>
      <c r="E2" s="149" t="s">
        <v>0</v>
      </c>
      <c r="F2" s="149" t="s">
        <v>3</v>
      </c>
      <c r="G2" s="149" t="s">
        <v>4</v>
      </c>
      <c r="H2" s="149" t="s">
        <v>5</v>
      </c>
      <c r="I2" s="150" t="s">
        <v>7</v>
      </c>
    </row>
    <row r="3" spans="1:9" ht="30" customHeight="1" thickBot="1">
      <c r="A3" s="130" t="s">
        <v>9</v>
      </c>
      <c r="B3" s="131">
        <v>20000000</v>
      </c>
      <c r="C3" s="151">
        <f>B3/1000000</f>
        <v>20</v>
      </c>
      <c r="D3" s="152">
        <v>2000</v>
      </c>
      <c r="E3" s="152">
        <f>B3*D3/1000000000</f>
        <v>40</v>
      </c>
      <c r="F3" s="151">
        <v>6</v>
      </c>
      <c r="G3" s="151">
        <f>E5</f>
        <v>2.54</v>
      </c>
      <c r="H3" s="153">
        <f>H18</f>
        <v>2.3996005531505533</v>
      </c>
      <c r="I3" s="132">
        <f>D3/12</f>
        <v>166.66666666666666</v>
      </c>
    </row>
    <row r="4" spans="1:10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119" t="s">
        <v>31</v>
      </c>
      <c r="I4" s="121" t="s">
        <v>7</v>
      </c>
      <c r="J4" s="133" t="s">
        <v>44</v>
      </c>
    </row>
    <row r="5" spans="1:10" ht="12.75">
      <c r="A5" s="39">
        <f>E3*1000000000</f>
        <v>40000000000</v>
      </c>
      <c r="B5" s="37"/>
      <c r="C5" s="6">
        <f>A5</f>
        <v>40000000000</v>
      </c>
      <c r="D5" s="27">
        <v>0</v>
      </c>
      <c r="E5" s="29">
        <v>2.54</v>
      </c>
      <c r="F5" s="199"/>
      <c r="G5" s="200"/>
      <c r="H5" s="134"/>
      <c r="I5" s="129"/>
      <c r="J5" s="135"/>
    </row>
    <row r="6" spans="1:10" ht="12.75">
      <c r="A6" s="14"/>
      <c r="B6" s="9"/>
      <c r="C6" s="6">
        <f>C5</f>
        <v>40000000000</v>
      </c>
      <c r="D6" s="27">
        <v>1</v>
      </c>
      <c r="E6" s="29">
        <f>E5</f>
        <v>2.54</v>
      </c>
      <c r="F6" s="192">
        <f>C6*E6/(100*D6)</f>
        <v>1016000000</v>
      </c>
      <c r="G6" s="193"/>
      <c r="H6" s="134" t="s">
        <v>32</v>
      </c>
      <c r="I6" s="136">
        <f>I3</f>
        <v>166.66666666666666</v>
      </c>
      <c r="J6" s="135">
        <f>F18/12</f>
        <v>199966712.7625461</v>
      </c>
    </row>
    <row r="7" spans="1:10" ht="12.75">
      <c r="A7" s="4"/>
      <c r="B7" s="9"/>
      <c r="C7" s="6">
        <f>C6-(C5*1/12)</f>
        <v>36666666666.666664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465666666.6666666</v>
      </c>
      <c r="G7" s="193"/>
      <c r="H7" s="134" t="s">
        <v>33</v>
      </c>
      <c r="I7" s="136">
        <f>I6</f>
        <v>166.66666666666666</v>
      </c>
      <c r="J7" s="135">
        <f>J6</f>
        <v>199966712.7625461</v>
      </c>
    </row>
    <row r="8" spans="1:10" ht="12.75">
      <c r="A8" s="4"/>
      <c r="B8" s="9"/>
      <c r="C8" s="6">
        <f>C7-(C5*1/12)</f>
        <v>33333333333.333332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282222222.22222227</v>
      </c>
      <c r="G8" s="193"/>
      <c r="H8" s="134" t="s">
        <v>34</v>
      </c>
      <c r="I8" s="136">
        <f aca="true" t="shared" si="3" ref="I8:I17">I7</f>
        <v>166.66666666666666</v>
      </c>
      <c r="J8" s="135">
        <f aca="true" t="shared" si="4" ref="J8:J17">J7</f>
        <v>199966712.7625461</v>
      </c>
    </row>
    <row r="9" spans="1:10" ht="12.75">
      <c r="A9" s="4"/>
      <c r="B9" s="9"/>
      <c r="C9" s="6">
        <f>C8-(C5*1/12)</f>
        <v>30000000000</v>
      </c>
      <c r="D9" s="27">
        <f t="shared" si="2"/>
        <v>4</v>
      </c>
      <c r="E9" s="29">
        <f t="shared" si="0"/>
        <v>2.54</v>
      </c>
      <c r="F9" s="192">
        <f t="shared" si="1"/>
        <v>190500000</v>
      </c>
      <c r="G9" s="193"/>
      <c r="H9" s="134" t="s">
        <v>35</v>
      </c>
      <c r="I9" s="136">
        <f t="shared" si="3"/>
        <v>166.66666666666666</v>
      </c>
      <c r="J9" s="135">
        <f t="shared" si="4"/>
        <v>199966712.7625461</v>
      </c>
    </row>
    <row r="10" spans="1:10" ht="12.75">
      <c r="A10" s="4"/>
      <c r="B10" s="9"/>
      <c r="C10" s="6">
        <f>C9-(C5*1/12)</f>
        <v>26666666666.666668</v>
      </c>
      <c r="D10" s="27">
        <f t="shared" si="2"/>
        <v>5</v>
      </c>
      <c r="E10" s="29">
        <f t="shared" si="0"/>
        <v>2.54</v>
      </c>
      <c r="F10" s="192">
        <f t="shared" si="1"/>
        <v>135466666.6666667</v>
      </c>
      <c r="G10" s="193"/>
      <c r="H10" s="134" t="s">
        <v>36</v>
      </c>
      <c r="I10" s="136">
        <f t="shared" si="3"/>
        <v>166.66666666666666</v>
      </c>
      <c r="J10" s="135">
        <f t="shared" si="4"/>
        <v>199966712.7625461</v>
      </c>
    </row>
    <row r="11" spans="1:10" ht="12.75">
      <c r="A11" s="4"/>
      <c r="B11" s="9"/>
      <c r="C11" s="6">
        <f>C10-(C5*1/12)</f>
        <v>23333333333.333336</v>
      </c>
      <c r="D11" s="27">
        <f t="shared" si="2"/>
        <v>6</v>
      </c>
      <c r="E11" s="29">
        <f t="shared" si="0"/>
        <v>2.54</v>
      </c>
      <c r="F11" s="192">
        <f t="shared" si="1"/>
        <v>98777777.77777779</v>
      </c>
      <c r="G11" s="193"/>
      <c r="H11" s="134" t="s">
        <v>37</v>
      </c>
      <c r="I11" s="136">
        <f t="shared" si="3"/>
        <v>166.66666666666666</v>
      </c>
      <c r="J11" s="135">
        <f t="shared" si="4"/>
        <v>199966712.7625461</v>
      </c>
    </row>
    <row r="12" spans="1:10" ht="12.75">
      <c r="A12" s="4"/>
      <c r="B12" s="9"/>
      <c r="C12" s="6">
        <f>C11-(C5*1/12)</f>
        <v>20000000000.000004</v>
      </c>
      <c r="D12" s="27">
        <f t="shared" si="2"/>
        <v>7</v>
      </c>
      <c r="E12" s="29">
        <f t="shared" si="0"/>
        <v>2.54</v>
      </c>
      <c r="F12" s="192">
        <f t="shared" si="1"/>
        <v>72571428.57142858</v>
      </c>
      <c r="G12" s="193"/>
      <c r="H12" s="134" t="s">
        <v>38</v>
      </c>
      <c r="I12" s="136">
        <f t="shared" si="3"/>
        <v>166.66666666666666</v>
      </c>
      <c r="J12" s="135">
        <f t="shared" si="4"/>
        <v>199966712.7625461</v>
      </c>
    </row>
    <row r="13" spans="1:10" ht="12.75">
      <c r="A13" s="4"/>
      <c r="B13" s="9"/>
      <c r="C13" s="6">
        <f>C12-(C5*1/12)</f>
        <v>16666666666.66667</v>
      </c>
      <c r="D13" s="27">
        <f t="shared" si="2"/>
        <v>8</v>
      </c>
      <c r="E13" s="29">
        <f t="shared" si="0"/>
        <v>2.54</v>
      </c>
      <c r="F13" s="192">
        <f t="shared" si="1"/>
        <v>52916666.66666668</v>
      </c>
      <c r="G13" s="193"/>
      <c r="H13" s="134" t="s">
        <v>39</v>
      </c>
      <c r="I13" s="136">
        <f t="shared" si="3"/>
        <v>166.66666666666666</v>
      </c>
      <c r="J13" s="135">
        <f t="shared" si="4"/>
        <v>199966712.7625461</v>
      </c>
    </row>
    <row r="14" spans="1:10" ht="12.75">
      <c r="A14" s="4"/>
      <c r="B14" s="9"/>
      <c r="C14" s="6">
        <f>C13-(C5*1/12)</f>
        <v>13333333333.333336</v>
      </c>
      <c r="D14" s="27">
        <f t="shared" si="2"/>
        <v>9</v>
      </c>
      <c r="E14" s="29">
        <f t="shared" si="0"/>
        <v>2.54</v>
      </c>
      <c r="F14" s="192">
        <f t="shared" si="1"/>
        <v>37629629.629629634</v>
      </c>
      <c r="G14" s="193"/>
      <c r="H14" s="134" t="s">
        <v>40</v>
      </c>
      <c r="I14" s="136">
        <f t="shared" si="3"/>
        <v>166.66666666666666</v>
      </c>
      <c r="J14" s="135">
        <f t="shared" si="4"/>
        <v>199966712.7625461</v>
      </c>
    </row>
    <row r="15" spans="1:10" ht="12.75">
      <c r="A15" s="4"/>
      <c r="B15" s="9"/>
      <c r="C15" s="6">
        <f>C14-(C5*1/12)</f>
        <v>10000000000.000002</v>
      </c>
      <c r="D15" s="27">
        <f t="shared" si="2"/>
        <v>10</v>
      </c>
      <c r="E15" s="29">
        <f t="shared" si="0"/>
        <v>2.54</v>
      </c>
      <c r="F15" s="192">
        <f t="shared" si="1"/>
        <v>25400000.000000004</v>
      </c>
      <c r="G15" s="193"/>
      <c r="H15" s="134" t="s">
        <v>41</v>
      </c>
      <c r="I15" s="136">
        <f t="shared" si="3"/>
        <v>166.66666666666666</v>
      </c>
      <c r="J15" s="135">
        <f t="shared" si="4"/>
        <v>199966712.7625461</v>
      </c>
    </row>
    <row r="16" spans="1:10" ht="12.75">
      <c r="A16" s="4"/>
      <c r="B16" s="9"/>
      <c r="C16" s="6">
        <f>C15-(C5*1/12)</f>
        <v>6666666666.666668</v>
      </c>
      <c r="D16" s="27">
        <f t="shared" si="2"/>
        <v>11</v>
      </c>
      <c r="E16" s="29">
        <f t="shared" si="0"/>
        <v>2.54</v>
      </c>
      <c r="F16" s="192">
        <f t="shared" si="1"/>
        <v>15393939.393939396</v>
      </c>
      <c r="G16" s="193"/>
      <c r="H16" s="134" t="s">
        <v>42</v>
      </c>
      <c r="I16" s="136">
        <f t="shared" si="3"/>
        <v>166.66666666666666</v>
      </c>
      <c r="J16" s="135">
        <f t="shared" si="4"/>
        <v>199966712.7625461</v>
      </c>
    </row>
    <row r="17" spans="1:10" ht="13.5" thickBot="1">
      <c r="A17" s="4"/>
      <c r="B17" s="9"/>
      <c r="C17" s="6">
        <f>C16-(C5*1/12)</f>
        <v>3333333333.3333344</v>
      </c>
      <c r="D17" s="27">
        <f t="shared" si="2"/>
        <v>12</v>
      </c>
      <c r="E17" s="30">
        <f t="shared" si="0"/>
        <v>2.54</v>
      </c>
      <c r="F17" s="194">
        <f t="shared" si="1"/>
        <v>7055555.555555558</v>
      </c>
      <c r="G17" s="195"/>
      <c r="H17" s="137" t="s">
        <v>43</v>
      </c>
      <c r="I17" s="138">
        <f t="shared" si="3"/>
        <v>166.66666666666666</v>
      </c>
      <c r="J17" s="135">
        <f t="shared" si="4"/>
        <v>199966712.7625461</v>
      </c>
    </row>
    <row r="18" spans="1:10" ht="12.75">
      <c r="A18" s="4"/>
      <c r="B18" s="9"/>
      <c r="C18" s="6"/>
      <c r="D18" s="5"/>
      <c r="E18" s="33"/>
      <c r="F18" s="206">
        <f>SUM(F6:G17)</f>
        <v>2399600553.150553</v>
      </c>
      <c r="G18" s="207"/>
      <c r="H18" s="139">
        <f>F18/1000000000</f>
        <v>2.3996005531505533</v>
      </c>
      <c r="I18" s="140">
        <f>SUM(I6:I17)</f>
        <v>2000.0000000000002</v>
      </c>
      <c r="J18" s="141">
        <f>SUM(J6:J17)</f>
        <v>2399600553.150553</v>
      </c>
    </row>
    <row r="19" spans="1:10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5.999001382876383</v>
      </c>
      <c r="G19" s="209"/>
      <c r="H19" s="142"/>
      <c r="I19" s="143" t="s">
        <v>46</v>
      </c>
      <c r="J19" s="116" t="s">
        <v>45</v>
      </c>
    </row>
    <row r="20" spans="1:10" ht="12.75">
      <c r="A20" s="4"/>
      <c r="B20" s="9"/>
      <c r="C20" s="6">
        <f>C5</f>
        <v>40000000000</v>
      </c>
      <c r="D20" s="27"/>
      <c r="E20" s="35">
        <f>F19</f>
        <v>5.999001382876383</v>
      </c>
      <c r="F20" s="210">
        <f>C20*E20/100</f>
        <v>2399600553.150553</v>
      </c>
      <c r="G20" s="211"/>
      <c r="H20" s="144">
        <f>F20/1000000000</f>
        <v>2.3996005531505533</v>
      </c>
      <c r="I20" s="145"/>
      <c r="J20" s="117">
        <f>J18/1000000000</f>
        <v>2.3996005531505533</v>
      </c>
    </row>
    <row r="21" spans="1:10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47"/>
      <c r="J21" s="118" t="s">
        <v>6</v>
      </c>
    </row>
    <row r="22" spans="1:9" ht="13.5" thickBot="1">
      <c r="A22" s="40"/>
      <c r="B22" s="41"/>
      <c r="C22" s="41"/>
      <c r="D22" s="41"/>
      <c r="E22" s="41"/>
      <c r="F22" s="42"/>
      <c r="G22" s="42"/>
      <c r="H22" s="43"/>
      <c r="I22" s="41"/>
    </row>
    <row r="23" spans="1:9" ht="13.5" thickBot="1">
      <c r="A23" s="203" t="s">
        <v>24</v>
      </c>
      <c r="B23" s="204"/>
      <c r="C23" s="204"/>
      <c r="D23" s="205"/>
      <c r="E23" s="41"/>
      <c r="F23" s="42"/>
      <c r="G23" s="42"/>
      <c r="H23" s="43"/>
      <c r="I23" s="41"/>
    </row>
    <row r="24" spans="1:4" s="1" customFormat="1" ht="24.75" customHeight="1">
      <c r="A24" s="44" t="s">
        <v>20</v>
      </c>
      <c r="B24" s="48" t="s">
        <v>16</v>
      </c>
      <c r="C24" s="48" t="s">
        <v>18</v>
      </c>
      <c r="D24" s="49" t="s">
        <v>6</v>
      </c>
    </row>
    <row r="25" spans="1:4" ht="13.5" thickBot="1">
      <c r="A25" s="11">
        <v>60000000</v>
      </c>
      <c r="B25" s="12">
        <v>500</v>
      </c>
      <c r="C25" s="12">
        <f>A25*B25</f>
        <v>30000000000</v>
      </c>
      <c r="D25" s="13">
        <f>C25/1000000000</f>
        <v>30</v>
      </c>
    </row>
    <row r="26" spans="1:4" ht="13.5" thickBot="1">
      <c r="A26" s="54"/>
      <c r="B26" s="41"/>
      <c r="C26" s="41"/>
      <c r="D26" s="55"/>
    </row>
    <row r="27" spans="1:4" ht="12.75">
      <c r="A27" s="44" t="s">
        <v>21</v>
      </c>
      <c r="B27" s="45"/>
      <c r="C27" s="45"/>
      <c r="D27" s="46"/>
    </row>
    <row r="28" spans="1:4" ht="12.75">
      <c r="A28" s="4">
        <v>40000000</v>
      </c>
      <c r="B28" s="5">
        <v>500</v>
      </c>
      <c r="C28" s="5">
        <f>A28*B28</f>
        <v>20000000000</v>
      </c>
      <c r="D28" s="8">
        <f>C28/1000000000</f>
        <v>20</v>
      </c>
    </row>
    <row r="29" spans="1:4" ht="12.75">
      <c r="A29" s="4"/>
      <c r="B29" s="47" t="s">
        <v>19</v>
      </c>
      <c r="C29" s="5"/>
      <c r="D29" s="8"/>
    </row>
    <row r="30" spans="1:4" ht="12.75">
      <c r="A30" s="50">
        <v>20000000</v>
      </c>
      <c r="B30" s="51">
        <v>1000</v>
      </c>
      <c r="C30" s="51">
        <f>A30*B30</f>
        <v>20000000000</v>
      </c>
      <c r="D30" s="52">
        <f>C30/1000000000</f>
        <v>20</v>
      </c>
    </row>
    <row r="31" spans="1:4" ht="13.5" thickBot="1">
      <c r="A31" s="18" t="s">
        <v>22</v>
      </c>
      <c r="B31" s="19"/>
      <c r="C31" s="19">
        <f>SUM(C28:C30)</f>
        <v>40000000000</v>
      </c>
      <c r="D31" s="53">
        <f>SUM(D28:D30)</f>
        <v>40</v>
      </c>
    </row>
  </sheetData>
  <mergeCells count="20">
    <mergeCell ref="A1:I1"/>
    <mergeCell ref="F5:G5"/>
    <mergeCell ref="F4:G4"/>
    <mergeCell ref="A23:D23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4" sqref="I4:I21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8" width="10.7109375" style="0" customWidth="1"/>
    <col min="9" max="9" width="14.7109375" style="0" customWidth="1"/>
    <col min="10" max="10" width="10.7109375" style="0" customWidth="1"/>
  </cols>
  <sheetData>
    <row r="1" spans="1:9" ht="30" customHeight="1" thickBot="1">
      <c r="A1" s="196" t="s">
        <v>30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5"/>
      <c r="B2" s="16" t="s">
        <v>25</v>
      </c>
      <c r="C2" s="16" t="s">
        <v>26</v>
      </c>
      <c r="D2" s="16" t="s">
        <v>27</v>
      </c>
      <c r="E2" s="16" t="s">
        <v>0</v>
      </c>
      <c r="F2" s="16" t="s">
        <v>3</v>
      </c>
      <c r="G2" s="16" t="s">
        <v>4</v>
      </c>
      <c r="H2" s="149" t="s">
        <v>5</v>
      </c>
      <c r="I2" s="150" t="s">
        <v>29</v>
      </c>
    </row>
    <row r="3" spans="1:9" ht="30" customHeight="1" thickBot="1">
      <c r="A3" s="18" t="s">
        <v>28</v>
      </c>
      <c r="B3" s="19">
        <v>20000000</v>
      </c>
      <c r="C3" s="20">
        <f>B3/1000000</f>
        <v>20</v>
      </c>
      <c r="D3" s="21">
        <v>6000</v>
      </c>
      <c r="E3" s="21">
        <f>B3*D3/1000000000</f>
        <v>120</v>
      </c>
      <c r="F3" s="20">
        <v>6</v>
      </c>
      <c r="G3" s="20">
        <f>E5</f>
        <v>2.54</v>
      </c>
      <c r="H3" s="153">
        <f>H18</f>
        <v>7.19880165945166</v>
      </c>
      <c r="I3" s="132">
        <f>F18/(B3*12)</f>
        <v>29.995006914381918</v>
      </c>
    </row>
    <row r="4" spans="1:9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12"/>
      <c r="H4" s="166" t="s">
        <v>31</v>
      </c>
      <c r="I4" s="121" t="s">
        <v>47</v>
      </c>
    </row>
    <row r="5" spans="1:9" ht="12.75">
      <c r="A5" s="39">
        <f>E3*1000000000</f>
        <v>120000000000</v>
      </c>
      <c r="B5" s="37"/>
      <c r="C5" s="6">
        <f>A5</f>
        <v>120000000000</v>
      </c>
      <c r="D5" s="27">
        <v>0</v>
      </c>
      <c r="E5" s="29">
        <v>2.54</v>
      </c>
      <c r="F5" s="199"/>
      <c r="G5" s="213"/>
      <c r="H5" s="167"/>
      <c r="I5" s="129"/>
    </row>
    <row r="6" spans="1:9" ht="12.75">
      <c r="A6" s="14"/>
      <c r="B6" s="9"/>
      <c r="C6" s="6">
        <f>C5</f>
        <v>120000000000</v>
      </c>
      <c r="D6" s="27">
        <v>1</v>
      </c>
      <c r="E6" s="29">
        <f>E5</f>
        <v>2.54</v>
      </c>
      <c r="F6" s="192">
        <f>C6*E6/(100*D6)</f>
        <v>3048000000</v>
      </c>
      <c r="G6" s="214"/>
      <c r="H6" s="167" t="s">
        <v>32</v>
      </c>
      <c r="I6" s="136">
        <f>F18/12</f>
        <v>599900138.2876383</v>
      </c>
    </row>
    <row r="7" spans="1:9" ht="12.75">
      <c r="A7" s="4"/>
      <c r="B7" s="9"/>
      <c r="C7" s="6">
        <f>C6-(C5*1/12)</f>
        <v>110000000000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1397000000</v>
      </c>
      <c r="G7" s="214"/>
      <c r="H7" s="167" t="s">
        <v>33</v>
      </c>
      <c r="I7" s="136">
        <f>I6</f>
        <v>599900138.2876383</v>
      </c>
    </row>
    <row r="8" spans="1:9" ht="12.75">
      <c r="A8" s="4"/>
      <c r="B8" s="9"/>
      <c r="C8" s="6">
        <f>C7-(C5*1/12)</f>
        <v>100000000000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846666666.6666666</v>
      </c>
      <c r="G8" s="214"/>
      <c r="H8" s="167" t="s">
        <v>34</v>
      </c>
      <c r="I8" s="136">
        <f aca="true" t="shared" si="3" ref="I8:I17">I7</f>
        <v>599900138.2876383</v>
      </c>
    </row>
    <row r="9" spans="1:9" ht="12.75">
      <c r="A9" s="4"/>
      <c r="B9" s="9"/>
      <c r="C9" s="6">
        <f>C8-(C5*1/12)</f>
        <v>90000000000</v>
      </c>
      <c r="D9" s="27">
        <f t="shared" si="2"/>
        <v>4</v>
      </c>
      <c r="E9" s="29">
        <f t="shared" si="0"/>
        <v>2.54</v>
      </c>
      <c r="F9" s="192">
        <f t="shared" si="1"/>
        <v>571500000</v>
      </c>
      <c r="G9" s="214"/>
      <c r="H9" s="167" t="s">
        <v>35</v>
      </c>
      <c r="I9" s="136">
        <f t="shared" si="3"/>
        <v>599900138.2876383</v>
      </c>
    </row>
    <row r="10" spans="1:9" ht="12.75">
      <c r="A10" s="4"/>
      <c r="B10" s="9"/>
      <c r="C10" s="6">
        <f>C9-(C5*1/12)</f>
        <v>80000000000</v>
      </c>
      <c r="D10" s="27">
        <f t="shared" si="2"/>
        <v>5</v>
      </c>
      <c r="E10" s="29">
        <f t="shared" si="0"/>
        <v>2.54</v>
      </c>
      <c r="F10" s="192">
        <f t="shared" si="1"/>
        <v>406400000</v>
      </c>
      <c r="G10" s="214"/>
      <c r="H10" s="167" t="s">
        <v>36</v>
      </c>
      <c r="I10" s="136">
        <f t="shared" si="3"/>
        <v>599900138.2876383</v>
      </c>
    </row>
    <row r="11" spans="1:9" ht="12.75">
      <c r="A11" s="4"/>
      <c r="B11" s="9"/>
      <c r="C11" s="6">
        <f>C10-(C5*1/12)</f>
        <v>70000000000</v>
      </c>
      <c r="D11" s="27">
        <f t="shared" si="2"/>
        <v>6</v>
      </c>
      <c r="E11" s="29">
        <f t="shared" si="0"/>
        <v>2.54</v>
      </c>
      <c r="F11" s="192">
        <f t="shared" si="1"/>
        <v>296333333.3333333</v>
      </c>
      <c r="G11" s="214"/>
      <c r="H11" s="167" t="s">
        <v>37</v>
      </c>
      <c r="I11" s="136">
        <f t="shared" si="3"/>
        <v>599900138.2876383</v>
      </c>
    </row>
    <row r="12" spans="1:9" ht="12.75">
      <c r="A12" s="4"/>
      <c r="B12" s="9"/>
      <c r="C12" s="6">
        <f>C11-(C5*1/12)</f>
        <v>60000000000</v>
      </c>
      <c r="D12" s="27">
        <f t="shared" si="2"/>
        <v>7</v>
      </c>
      <c r="E12" s="29">
        <f t="shared" si="0"/>
        <v>2.54</v>
      </c>
      <c r="F12" s="192">
        <f t="shared" si="1"/>
        <v>217714285.7142857</v>
      </c>
      <c r="G12" s="214"/>
      <c r="H12" s="167" t="s">
        <v>38</v>
      </c>
      <c r="I12" s="136">
        <f t="shared" si="3"/>
        <v>599900138.2876383</v>
      </c>
    </row>
    <row r="13" spans="1:9" ht="12.75">
      <c r="A13" s="4"/>
      <c r="B13" s="9"/>
      <c r="C13" s="6">
        <f>C12-(C5*1/12)</f>
        <v>50000000000</v>
      </c>
      <c r="D13" s="27">
        <f t="shared" si="2"/>
        <v>8</v>
      </c>
      <c r="E13" s="29">
        <f t="shared" si="0"/>
        <v>2.54</v>
      </c>
      <c r="F13" s="192">
        <f t="shared" si="1"/>
        <v>158750000</v>
      </c>
      <c r="G13" s="214"/>
      <c r="H13" s="167" t="s">
        <v>39</v>
      </c>
      <c r="I13" s="136">
        <f t="shared" si="3"/>
        <v>599900138.2876383</v>
      </c>
    </row>
    <row r="14" spans="1:9" ht="12.75">
      <c r="A14" s="4"/>
      <c r="B14" s="9"/>
      <c r="C14" s="6">
        <f>C13-(C5*1/12)</f>
        <v>40000000000</v>
      </c>
      <c r="D14" s="27">
        <f t="shared" si="2"/>
        <v>9</v>
      </c>
      <c r="E14" s="29">
        <f t="shared" si="0"/>
        <v>2.54</v>
      </c>
      <c r="F14" s="192">
        <f t="shared" si="1"/>
        <v>112888888.8888889</v>
      </c>
      <c r="G14" s="214"/>
      <c r="H14" s="167" t="s">
        <v>40</v>
      </c>
      <c r="I14" s="136">
        <f t="shared" si="3"/>
        <v>599900138.2876383</v>
      </c>
    </row>
    <row r="15" spans="1:9" ht="12.75">
      <c r="A15" s="4"/>
      <c r="B15" s="9"/>
      <c r="C15" s="6">
        <f>C14-(C5*1/12)</f>
        <v>30000000000</v>
      </c>
      <c r="D15" s="27">
        <f t="shared" si="2"/>
        <v>10</v>
      </c>
      <c r="E15" s="29">
        <f t="shared" si="0"/>
        <v>2.54</v>
      </c>
      <c r="F15" s="192">
        <f t="shared" si="1"/>
        <v>76200000</v>
      </c>
      <c r="G15" s="214"/>
      <c r="H15" s="167" t="s">
        <v>41</v>
      </c>
      <c r="I15" s="136">
        <f t="shared" si="3"/>
        <v>599900138.2876383</v>
      </c>
    </row>
    <row r="16" spans="1:9" ht="12.75">
      <c r="A16" s="4"/>
      <c r="B16" s="9"/>
      <c r="C16" s="6">
        <f>C15-(C5*1/12)</f>
        <v>20000000000</v>
      </c>
      <c r="D16" s="27">
        <f t="shared" si="2"/>
        <v>11</v>
      </c>
      <c r="E16" s="29">
        <f t="shared" si="0"/>
        <v>2.54</v>
      </c>
      <c r="F16" s="192">
        <f t="shared" si="1"/>
        <v>46181818.18181818</v>
      </c>
      <c r="G16" s="214"/>
      <c r="H16" s="167" t="s">
        <v>42</v>
      </c>
      <c r="I16" s="136">
        <f t="shared" si="3"/>
        <v>599900138.2876383</v>
      </c>
    </row>
    <row r="17" spans="1:9" ht="13.5" thickBot="1">
      <c r="A17" s="4"/>
      <c r="B17" s="9"/>
      <c r="C17" s="6">
        <f>C16-(C5*1/12)</f>
        <v>10000000000</v>
      </c>
      <c r="D17" s="27">
        <f t="shared" si="2"/>
        <v>12</v>
      </c>
      <c r="E17" s="30">
        <f t="shared" si="0"/>
        <v>2.54</v>
      </c>
      <c r="F17" s="217">
        <f t="shared" si="1"/>
        <v>21166666.666666668</v>
      </c>
      <c r="G17" s="218"/>
      <c r="H17" s="168" t="s">
        <v>43</v>
      </c>
      <c r="I17" s="157">
        <f t="shared" si="3"/>
        <v>599900138.2876383</v>
      </c>
    </row>
    <row r="18" spans="1:9" ht="13.5" thickBot="1">
      <c r="A18" s="4"/>
      <c r="B18" s="9"/>
      <c r="C18" s="6"/>
      <c r="D18" s="5"/>
      <c r="E18" s="56"/>
      <c r="F18" s="219">
        <f>SUM(F6:G17)</f>
        <v>7198801659.45166</v>
      </c>
      <c r="G18" s="220"/>
      <c r="H18" s="169">
        <f>F18/1000000000</f>
        <v>7.19880165945166</v>
      </c>
      <c r="I18" s="144">
        <f>SUM(I6:I17)</f>
        <v>7198801659.451661</v>
      </c>
    </row>
    <row r="19" spans="1:9" s="1" customFormat="1" ht="24.75" customHeight="1" thickBot="1">
      <c r="A19" s="4"/>
      <c r="B19" s="9"/>
      <c r="C19" s="10"/>
      <c r="D19" s="32"/>
      <c r="E19" s="34" t="s">
        <v>3</v>
      </c>
      <c r="F19" s="215">
        <f>F18/C5*100</f>
        <v>5.999001382876384</v>
      </c>
      <c r="G19" s="216"/>
      <c r="H19" s="142"/>
      <c r="I19" s="162"/>
    </row>
    <row r="20" spans="1:9" ht="12.75">
      <c r="A20" s="4"/>
      <c r="B20" s="9"/>
      <c r="C20" s="6">
        <f>C5</f>
        <v>120000000000</v>
      </c>
      <c r="D20" s="27"/>
      <c r="E20" s="35">
        <f>F19</f>
        <v>5.999001382876384</v>
      </c>
      <c r="F20" s="210">
        <f>C20*E20/100</f>
        <v>7198801659.45166</v>
      </c>
      <c r="G20" s="211"/>
      <c r="H20" s="144">
        <f>F20/1000000000</f>
        <v>7.19880165945166</v>
      </c>
      <c r="I20" s="170">
        <f>I18/1000000000</f>
        <v>7.198801659451661</v>
      </c>
    </row>
    <row r="21" spans="1:9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71"/>
    </row>
    <row r="22" spans="1:9" ht="12.75">
      <c r="A22" s="40"/>
      <c r="B22" s="41"/>
      <c r="C22" s="41"/>
      <c r="D22" s="41"/>
      <c r="E22" s="41"/>
      <c r="F22" s="42"/>
      <c r="G22" s="42"/>
      <c r="H22" s="43"/>
      <c r="I22" s="41"/>
    </row>
    <row r="26" ht="25.5">
      <c r="A26" s="1" t="s">
        <v>122</v>
      </c>
    </row>
    <row r="27" ht="12.75">
      <c r="A27" s="1" t="s">
        <v>120</v>
      </c>
    </row>
    <row r="28" ht="12.75">
      <c r="A28" s="1" t="s">
        <v>121</v>
      </c>
    </row>
    <row r="29" ht="12.75">
      <c r="A29" s="1" t="s">
        <v>137</v>
      </c>
    </row>
    <row r="35" spans="1:2" ht="25.5">
      <c r="A35" s="1" t="s">
        <v>122</v>
      </c>
      <c r="B35" t="s">
        <v>126</v>
      </c>
    </row>
    <row r="36" spans="1:3" ht="12.75">
      <c r="A36" s="1" t="s">
        <v>123</v>
      </c>
      <c r="B36">
        <v>75</v>
      </c>
      <c r="C36">
        <v>500</v>
      </c>
    </row>
    <row r="37" spans="1:3" ht="12.75">
      <c r="A37" s="1" t="s">
        <v>124</v>
      </c>
      <c r="B37">
        <v>25</v>
      </c>
      <c r="C37">
        <v>300</v>
      </c>
    </row>
    <row r="38" spans="1:3" ht="12.75">
      <c r="A38" s="1" t="s">
        <v>125</v>
      </c>
      <c r="B38">
        <v>60</v>
      </c>
      <c r="C38">
        <v>300</v>
      </c>
    </row>
    <row r="39" spans="1:3" ht="12.75">
      <c r="A39" s="1" t="s">
        <v>129</v>
      </c>
      <c r="B39">
        <v>80</v>
      </c>
      <c r="C39">
        <v>300</v>
      </c>
    </row>
    <row r="40" spans="1:3" ht="12.75">
      <c r="A40" s="1" t="s">
        <v>130</v>
      </c>
      <c r="B40">
        <v>60</v>
      </c>
      <c r="C40">
        <v>300</v>
      </c>
    </row>
    <row r="41" spans="1:3" ht="12.75">
      <c r="A41" s="1" t="s">
        <v>131</v>
      </c>
      <c r="B41">
        <v>40</v>
      </c>
      <c r="C41">
        <v>200</v>
      </c>
    </row>
    <row r="42" spans="1:3" ht="12.75">
      <c r="A42" s="1" t="s">
        <v>127</v>
      </c>
      <c r="B42">
        <f>SUM(B36:B41)</f>
        <v>340</v>
      </c>
      <c r="C42">
        <f>SUM(C36:C41)</f>
        <v>1900</v>
      </c>
    </row>
    <row r="43" spans="1:7" ht="12.75">
      <c r="A43" s="1" t="s">
        <v>128</v>
      </c>
      <c r="B43">
        <f>20*B42</f>
        <v>6800</v>
      </c>
      <c r="C43">
        <f>C42*20</f>
        <v>38000</v>
      </c>
      <c r="D43">
        <v>5</v>
      </c>
      <c r="E43">
        <f>C43*D43</f>
        <v>190000</v>
      </c>
      <c r="F43">
        <f>E43*220</f>
        <v>41800000</v>
      </c>
      <c r="G43" s="72">
        <f>F43/1000000000</f>
        <v>0.0418</v>
      </c>
    </row>
    <row r="44" spans="1:2" ht="12.75">
      <c r="A44" s="1" t="s">
        <v>132</v>
      </c>
      <c r="B44">
        <v>100000</v>
      </c>
    </row>
    <row r="45" spans="1:2" ht="12.75">
      <c r="A45" s="1" t="s">
        <v>134</v>
      </c>
      <c r="B45">
        <f>B43*B44</f>
        <v>680000000</v>
      </c>
    </row>
    <row r="46" spans="1:2" ht="12.75">
      <c r="A46" s="1" t="s">
        <v>133</v>
      </c>
      <c r="B46">
        <f>B45/1000000000</f>
        <v>0.68</v>
      </c>
    </row>
    <row r="47" spans="1:2" ht="12.75">
      <c r="A47" s="1" t="s">
        <v>136</v>
      </c>
      <c r="B47">
        <v>5</v>
      </c>
    </row>
    <row r="48" spans="1:2" ht="12.75">
      <c r="A48" s="1" t="s">
        <v>135</v>
      </c>
      <c r="B48">
        <f>B46/B47</f>
        <v>0.136</v>
      </c>
    </row>
  </sheetData>
  <mergeCells count="19">
    <mergeCell ref="F19:G19"/>
    <mergeCell ref="F20:G20"/>
    <mergeCell ref="F21:G21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A1:I1"/>
    <mergeCell ref="F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6" sqref="J16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10" width="10.7109375" style="0" customWidth="1"/>
  </cols>
  <sheetData>
    <row r="1" spans="1:9" ht="30" customHeight="1" thickBot="1">
      <c r="A1" s="196" t="s">
        <v>119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48"/>
      <c r="B2" s="149" t="s">
        <v>142</v>
      </c>
      <c r="C2" s="149" t="s">
        <v>143</v>
      </c>
      <c r="D2" s="149" t="s">
        <v>144</v>
      </c>
      <c r="E2" s="149" t="s">
        <v>0</v>
      </c>
      <c r="F2" s="149" t="s">
        <v>3</v>
      </c>
      <c r="G2" s="149" t="s">
        <v>4</v>
      </c>
      <c r="H2" s="149" t="s">
        <v>5</v>
      </c>
      <c r="I2" s="150" t="s">
        <v>7</v>
      </c>
    </row>
    <row r="3" spans="1:9" ht="30" customHeight="1" thickBot="1">
      <c r="A3" s="130" t="s">
        <v>154</v>
      </c>
      <c r="B3" s="131">
        <v>20000000</v>
      </c>
      <c r="C3" s="151">
        <f>B3/1000000</f>
        <v>20</v>
      </c>
      <c r="D3" s="152">
        <v>3000</v>
      </c>
      <c r="E3" s="152">
        <f>B3*D3/1000000000</f>
        <v>60</v>
      </c>
      <c r="F3" s="151">
        <v>6</v>
      </c>
      <c r="G3" s="151">
        <f>E5</f>
        <v>2.54</v>
      </c>
      <c r="H3" s="153">
        <f>H18</f>
        <v>3.59940082972583</v>
      </c>
      <c r="I3" s="132">
        <f>D3/12</f>
        <v>250</v>
      </c>
    </row>
    <row r="4" spans="1:10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119" t="s">
        <v>31</v>
      </c>
      <c r="I4" s="121" t="s">
        <v>7</v>
      </c>
      <c r="J4" s="133" t="s">
        <v>44</v>
      </c>
    </row>
    <row r="5" spans="1:10" ht="12.75">
      <c r="A5" s="39">
        <f>E3*1000000000</f>
        <v>60000000000</v>
      </c>
      <c r="B5" s="37"/>
      <c r="C5" s="6">
        <f>A5</f>
        <v>60000000000</v>
      </c>
      <c r="D5" s="27">
        <v>0</v>
      </c>
      <c r="E5" s="29">
        <v>2.54</v>
      </c>
      <c r="F5" s="199"/>
      <c r="G5" s="200"/>
      <c r="H5" s="134"/>
      <c r="I5" s="129"/>
      <c r="J5" s="135"/>
    </row>
    <row r="6" spans="1:10" ht="12.75">
      <c r="A6" s="14"/>
      <c r="B6" s="9"/>
      <c r="C6" s="6">
        <f>C5</f>
        <v>60000000000</v>
      </c>
      <c r="D6" s="27">
        <v>1</v>
      </c>
      <c r="E6" s="29">
        <f>E5</f>
        <v>2.54</v>
      </c>
      <c r="F6" s="192">
        <f>C6*E6/(100*D6)</f>
        <v>1524000000</v>
      </c>
      <c r="G6" s="193"/>
      <c r="H6" s="134" t="s">
        <v>32</v>
      </c>
      <c r="I6" s="136">
        <f>I3</f>
        <v>250</v>
      </c>
      <c r="J6" s="135">
        <f>F18/12</f>
        <v>299950069.14381915</v>
      </c>
    </row>
    <row r="7" spans="1:10" ht="12.75">
      <c r="A7" s="4"/>
      <c r="B7" s="9"/>
      <c r="C7" s="6">
        <f>C6-(C5*1/12)</f>
        <v>55000000000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698500000</v>
      </c>
      <c r="G7" s="193"/>
      <c r="H7" s="134" t="s">
        <v>33</v>
      </c>
      <c r="I7" s="136">
        <f>I6</f>
        <v>250</v>
      </c>
      <c r="J7" s="135">
        <f>J6</f>
        <v>299950069.14381915</v>
      </c>
    </row>
    <row r="8" spans="1:10" ht="12.75">
      <c r="A8" s="4"/>
      <c r="B8" s="9"/>
      <c r="C8" s="6">
        <f>C7-(C5*1/12)</f>
        <v>50000000000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423333333.3333333</v>
      </c>
      <c r="G8" s="193"/>
      <c r="H8" s="134" t="s">
        <v>34</v>
      </c>
      <c r="I8" s="136">
        <f aca="true" t="shared" si="3" ref="I8:J17">I7</f>
        <v>250</v>
      </c>
      <c r="J8" s="135">
        <f t="shared" si="3"/>
        <v>299950069.14381915</v>
      </c>
    </row>
    <row r="9" spans="1:10" ht="12.75">
      <c r="A9" s="4"/>
      <c r="B9" s="9"/>
      <c r="C9" s="6">
        <f>C8-(C5*1/12)</f>
        <v>45000000000</v>
      </c>
      <c r="D9" s="27">
        <f t="shared" si="2"/>
        <v>4</v>
      </c>
      <c r="E9" s="29">
        <f t="shared" si="0"/>
        <v>2.54</v>
      </c>
      <c r="F9" s="192">
        <f t="shared" si="1"/>
        <v>285750000</v>
      </c>
      <c r="G9" s="193"/>
      <c r="H9" s="134" t="s">
        <v>35</v>
      </c>
      <c r="I9" s="136">
        <f t="shared" si="3"/>
        <v>250</v>
      </c>
      <c r="J9" s="135">
        <f t="shared" si="3"/>
        <v>299950069.14381915</v>
      </c>
    </row>
    <row r="10" spans="1:10" ht="12.75">
      <c r="A10" s="4"/>
      <c r="B10" s="9"/>
      <c r="C10" s="6">
        <f>C9-(C5*1/12)</f>
        <v>40000000000</v>
      </c>
      <c r="D10" s="27">
        <f t="shared" si="2"/>
        <v>5</v>
      </c>
      <c r="E10" s="29">
        <f t="shared" si="0"/>
        <v>2.54</v>
      </c>
      <c r="F10" s="192">
        <f t="shared" si="1"/>
        <v>203200000</v>
      </c>
      <c r="G10" s="193"/>
      <c r="H10" s="134" t="s">
        <v>36</v>
      </c>
      <c r="I10" s="136">
        <f t="shared" si="3"/>
        <v>250</v>
      </c>
      <c r="J10" s="135">
        <f t="shared" si="3"/>
        <v>299950069.14381915</v>
      </c>
    </row>
    <row r="11" spans="1:10" ht="12.75">
      <c r="A11" s="4"/>
      <c r="B11" s="9"/>
      <c r="C11" s="6">
        <f>C10-(C5*1/12)</f>
        <v>35000000000</v>
      </c>
      <c r="D11" s="27">
        <f t="shared" si="2"/>
        <v>6</v>
      </c>
      <c r="E11" s="29">
        <f t="shared" si="0"/>
        <v>2.54</v>
      </c>
      <c r="F11" s="192">
        <f t="shared" si="1"/>
        <v>148166666.66666666</v>
      </c>
      <c r="G11" s="193"/>
      <c r="H11" s="134" t="s">
        <v>37</v>
      </c>
      <c r="I11" s="136">
        <f t="shared" si="3"/>
        <v>250</v>
      </c>
      <c r="J11" s="135">
        <f t="shared" si="3"/>
        <v>299950069.14381915</v>
      </c>
    </row>
    <row r="12" spans="1:10" ht="12.75">
      <c r="A12" s="4"/>
      <c r="B12" s="9"/>
      <c r="C12" s="6">
        <f>C11-(C5*1/12)</f>
        <v>30000000000</v>
      </c>
      <c r="D12" s="27">
        <f t="shared" si="2"/>
        <v>7</v>
      </c>
      <c r="E12" s="29">
        <f t="shared" si="0"/>
        <v>2.54</v>
      </c>
      <c r="F12" s="192">
        <f t="shared" si="1"/>
        <v>108857142.85714285</v>
      </c>
      <c r="G12" s="193"/>
      <c r="H12" s="134" t="s">
        <v>38</v>
      </c>
      <c r="I12" s="136">
        <f t="shared" si="3"/>
        <v>250</v>
      </c>
      <c r="J12" s="135">
        <f t="shared" si="3"/>
        <v>299950069.14381915</v>
      </c>
    </row>
    <row r="13" spans="1:10" ht="12.75">
      <c r="A13" s="4"/>
      <c r="B13" s="9"/>
      <c r="C13" s="6">
        <f>C12-(C5*1/12)</f>
        <v>25000000000</v>
      </c>
      <c r="D13" s="27">
        <f t="shared" si="2"/>
        <v>8</v>
      </c>
      <c r="E13" s="29">
        <f t="shared" si="0"/>
        <v>2.54</v>
      </c>
      <c r="F13" s="192">
        <f t="shared" si="1"/>
        <v>79375000</v>
      </c>
      <c r="G13" s="193"/>
      <c r="H13" s="134" t="s">
        <v>39</v>
      </c>
      <c r="I13" s="136">
        <f t="shared" si="3"/>
        <v>250</v>
      </c>
      <c r="J13" s="135">
        <f t="shared" si="3"/>
        <v>299950069.14381915</v>
      </c>
    </row>
    <row r="14" spans="1:10" ht="12.75">
      <c r="A14" s="4"/>
      <c r="B14" s="9"/>
      <c r="C14" s="6">
        <f>C13-(C5*1/12)</f>
        <v>20000000000</v>
      </c>
      <c r="D14" s="27">
        <f t="shared" si="2"/>
        <v>9</v>
      </c>
      <c r="E14" s="29">
        <f t="shared" si="0"/>
        <v>2.54</v>
      </c>
      <c r="F14" s="192">
        <f t="shared" si="1"/>
        <v>56444444.44444445</v>
      </c>
      <c r="G14" s="193"/>
      <c r="H14" s="134" t="s">
        <v>40</v>
      </c>
      <c r="I14" s="136">
        <f t="shared" si="3"/>
        <v>250</v>
      </c>
      <c r="J14" s="135">
        <f t="shared" si="3"/>
        <v>299950069.14381915</v>
      </c>
    </row>
    <row r="15" spans="1:10" ht="12.75">
      <c r="A15" s="4"/>
      <c r="B15" s="9"/>
      <c r="C15" s="6">
        <f>C14-(C5*1/12)</f>
        <v>15000000000</v>
      </c>
      <c r="D15" s="27">
        <f t="shared" si="2"/>
        <v>10</v>
      </c>
      <c r="E15" s="29">
        <f t="shared" si="0"/>
        <v>2.54</v>
      </c>
      <c r="F15" s="192">
        <f t="shared" si="1"/>
        <v>38100000</v>
      </c>
      <c r="G15" s="193"/>
      <c r="H15" s="134" t="s">
        <v>41</v>
      </c>
      <c r="I15" s="136">
        <f t="shared" si="3"/>
        <v>250</v>
      </c>
      <c r="J15" s="135">
        <f t="shared" si="3"/>
        <v>299950069.14381915</v>
      </c>
    </row>
    <row r="16" spans="1:10" ht="12.75">
      <c r="A16" s="4"/>
      <c r="B16" s="9"/>
      <c r="C16" s="6">
        <f>C15-(C5*1/12)</f>
        <v>10000000000</v>
      </c>
      <c r="D16" s="27">
        <f t="shared" si="2"/>
        <v>11</v>
      </c>
      <c r="E16" s="29">
        <f t="shared" si="0"/>
        <v>2.54</v>
      </c>
      <c r="F16" s="192">
        <f t="shared" si="1"/>
        <v>23090909.09090909</v>
      </c>
      <c r="G16" s="193"/>
      <c r="H16" s="134" t="s">
        <v>42</v>
      </c>
      <c r="I16" s="136">
        <f t="shared" si="3"/>
        <v>250</v>
      </c>
      <c r="J16" s="135">
        <f t="shared" si="3"/>
        <v>299950069.14381915</v>
      </c>
    </row>
    <row r="17" spans="1:10" ht="13.5" thickBot="1">
      <c r="A17" s="4"/>
      <c r="B17" s="9"/>
      <c r="C17" s="6">
        <f>C16-(C5*1/12)</f>
        <v>5000000000</v>
      </c>
      <c r="D17" s="27">
        <f t="shared" si="2"/>
        <v>12</v>
      </c>
      <c r="E17" s="30">
        <f t="shared" si="0"/>
        <v>2.54</v>
      </c>
      <c r="F17" s="194">
        <f t="shared" si="1"/>
        <v>10583333.333333334</v>
      </c>
      <c r="G17" s="195"/>
      <c r="H17" s="137" t="s">
        <v>43</v>
      </c>
      <c r="I17" s="138">
        <f t="shared" si="3"/>
        <v>250</v>
      </c>
      <c r="J17" s="135">
        <f t="shared" si="3"/>
        <v>299950069.14381915</v>
      </c>
    </row>
    <row r="18" spans="1:10" ht="12.75">
      <c r="A18" s="4"/>
      <c r="B18" s="9"/>
      <c r="C18" s="6"/>
      <c r="D18" s="5"/>
      <c r="E18" s="33"/>
      <c r="F18" s="206">
        <f>SUM(F6:G17)</f>
        <v>3599400829.72583</v>
      </c>
      <c r="G18" s="207"/>
      <c r="H18" s="139">
        <f>F18/1000000000</f>
        <v>3.59940082972583</v>
      </c>
      <c r="I18" s="140">
        <f>SUM(I6:I17)</f>
        <v>3000</v>
      </c>
      <c r="J18" s="141">
        <f>SUM(J6:J17)</f>
        <v>3599400829.7258306</v>
      </c>
    </row>
    <row r="19" spans="1:10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5.999001382876384</v>
      </c>
      <c r="G19" s="209"/>
      <c r="H19" s="142"/>
      <c r="I19" s="143" t="s">
        <v>46</v>
      </c>
      <c r="J19" s="116" t="s">
        <v>45</v>
      </c>
    </row>
    <row r="20" spans="1:10" ht="12.75">
      <c r="A20" s="4"/>
      <c r="B20" s="9"/>
      <c r="C20" s="6">
        <f>C5</f>
        <v>60000000000</v>
      </c>
      <c r="D20" s="27"/>
      <c r="E20" s="35">
        <f>F19</f>
        <v>5.999001382876384</v>
      </c>
      <c r="F20" s="210">
        <f>C20*E20/100</f>
        <v>3599400829.72583</v>
      </c>
      <c r="G20" s="211"/>
      <c r="H20" s="144">
        <f>F20/1000000000</f>
        <v>3.59940082972583</v>
      </c>
      <c r="I20" s="145"/>
      <c r="J20" s="146">
        <f>J18/1000000000</f>
        <v>3.5994008297258304</v>
      </c>
    </row>
    <row r="21" spans="1:10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47"/>
      <c r="J21" s="118" t="s">
        <v>6</v>
      </c>
    </row>
  </sheetData>
  <mergeCells count="19">
    <mergeCell ref="A1:I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9:G19"/>
    <mergeCell ref="F20:G20"/>
    <mergeCell ref="F21:G21"/>
    <mergeCell ref="F15:G15"/>
    <mergeCell ref="F16:G16"/>
    <mergeCell ref="F17:G17"/>
    <mergeCell ref="F18:G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D19" sqref="D19"/>
    </sheetView>
  </sheetViews>
  <sheetFormatPr defaultColWidth="9.140625" defaultRowHeight="12.75"/>
  <cols>
    <col min="1" max="1" width="25.7109375" style="0" customWidth="1"/>
    <col min="3" max="3" width="10.00390625" style="0" bestFit="1" customWidth="1"/>
    <col min="4" max="6" width="14.7109375" style="0" customWidth="1"/>
    <col min="8" max="8" width="10.00390625" style="0" bestFit="1" customWidth="1"/>
  </cols>
  <sheetData>
    <row r="1" spans="1:6" ht="30" customHeight="1">
      <c r="A1" s="230" t="s">
        <v>94</v>
      </c>
      <c r="B1" s="231"/>
      <c r="C1" s="231"/>
      <c r="D1" s="231"/>
      <c r="E1" s="231"/>
      <c r="F1" s="232"/>
    </row>
    <row r="2" spans="1:6" ht="13.5" thickBot="1">
      <c r="A2" s="233"/>
      <c r="B2" s="183"/>
      <c r="C2" s="183"/>
      <c r="D2" s="183"/>
      <c r="E2" s="183"/>
      <c r="F2" s="234"/>
    </row>
    <row r="3" spans="1:6" ht="38.25">
      <c r="A3" s="73"/>
      <c r="B3" s="45"/>
      <c r="C3" s="45"/>
      <c r="D3" s="46"/>
      <c r="E3" s="154" t="s">
        <v>31</v>
      </c>
      <c r="F3" s="121" t="s">
        <v>47</v>
      </c>
    </row>
    <row r="4" spans="1:6" ht="12.75">
      <c r="A4" s="66"/>
      <c r="B4" s="5"/>
      <c r="C4" s="235" t="s">
        <v>63</v>
      </c>
      <c r="D4" s="236"/>
      <c r="E4" s="155"/>
      <c r="F4" s="129"/>
    </row>
    <row r="5" spans="1:6" ht="12.75">
      <c r="A5" s="66"/>
      <c r="B5" s="5" t="s">
        <v>62</v>
      </c>
      <c r="C5" s="5" t="s">
        <v>61</v>
      </c>
      <c r="D5" s="74" t="s">
        <v>17</v>
      </c>
      <c r="E5" s="155" t="s">
        <v>32</v>
      </c>
      <c r="F5" s="136">
        <f>D21/12</f>
        <v>242218750</v>
      </c>
    </row>
    <row r="6" spans="1:6" ht="12.75">
      <c r="A6" s="66" t="s">
        <v>50</v>
      </c>
      <c r="B6" s="5">
        <v>3000</v>
      </c>
      <c r="C6" s="6">
        <v>22000</v>
      </c>
      <c r="D6" s="7">
        <f>B6*C6</f>
        <v>66000000</v>
      </c>
      <c r="E6" s="155" t="s">
        <v>33</v>
      </c>
      <c r="F6" s="136">
        <f>F5</f>
        <v>242218750</v>
      </c>
    </row>
    <row r="7" spans="1:6" ht="12.75">
      <c r="A7" s="66" t="s">
        <v>49</v>
      </c>
      <c r="B7" s="5">
        <v>6000</v>
      </c>
      <c r="C7" s="6">
        <v>22000</v>
      </c>
      <c r="D7" s="7">
        <f aca="true" t="shared" si="0" ref="D7:D16">B7*C7</f>
        <v>132000000</v>
      </c>
      <c r="E7" s="155" t="s">
        <v>34</v>
      </c>
      <c r="F7" s="136">
        <f aca="true" t="shared" si="1" ref="F7:F16">F6</f>
        <v>242218750</v>
      </c>
    </row>
    <row r="8" spans="1:6" ht="12.75">
      <c r="A8" s="66" t="s">
        <v>51</v>
      </c>
      <c r="B8" s="5">
        <v>10000</v>
      </c>
      <c r="C8" s="6">
        <v>22000</v>
      </c>
      <c r="D8" s="7">
        <f t="shared" si="0"/>
        <v>220000000</v>
      </c>
      <c r="E8" s="155" t="s">
        <v>35</v>
      </c>
      <c r="F8" s="136">
        <f t="shared" si="1"/>
        <v>242218750</v>
      </c>
    </row>
    <row r="9" spans="1:6" ht="12.75">
      <c r="A9" s="66" t="s">
        <v>52</v>
      </c>
      <c r="B9" s="5">
        <v>3000</v>
      </c>
      <c r="C9" s="6">
        <v>22000</v>
      </c>
      <c r="D9" s="7">
        <f t="shared" si="0"/>
        <v>66000000</v>
      </c>
      <c r="E9" s="155" t="s">
        <v>36</v>
      </c>
      <c r="F9" s="136">
        <f t="shared" si="1"/>
        <v>242218750</v>
      </c>
    </row>
    <row r="10" spans="1:6" ht="12.75">
      <c r="A10" s="66" t="s">
        <v>60</v>
      </c>
      <c r="B10" s="5">
        <v>9000</v>
      </c>
      <c r="C10" s="6">
        <v>22000</v>
      </c>
      <c r="D10" s="7">
        <f t="shared" si="0"/>
        <v>198000000</v>
      </c>
      <c r="E10" s="155" t="s">
        <v>37</v>
      </c>
      <c r="F10" s="136">
        <f t="shared" si="1"/>
        <v>242218750</v>
      </c>
    </row>
    <row r="11" spans="1:6" ht="12.75">
      <c r="A11" s="66" t="s">
        <v>53</v>
      </c>
      <c r="B11" s="5">
        <v>3000</v>
      </c>
      <c r="C11" s="6">
        <v>22000</v>
      </c>
      <c r="D11" s="7">
        <f t="shared" si="0"/>
        <v>66000000</v>
      </c>
      <c r="E11" s="155" t="s">
        <v>38</v>
      </c>
      <c r="F11" s="136">
        <f t="shared" si="1"/>
        <v>242218750</v>
      </c>
    </row>
    <row r="12" spans="1:6" ht="12.75">
      <c r="A12" s="66" t="s">
        <v>54</v>
      </c>
      <c r="B12" s="5">
        <v>6000</v>
      </c>
      <c r="C12" s="6">
        <v>22000</v>
      </c>
      <c r="D12" s="7">
        <f t="shared" si="0"/>
        <v>132000000</v>
      </c>
      <c r="E12" s="155" t="s">
        <v>39</v>
      </c>
      <c r="F12" s="136">
        <f t="shared" si="1"/>
        <v>242218750</v>
      </c>
    </row>
    <row r="13" spans="1:6" ht="12.75">
      <c r="A13" s="66" t="s">
        <v>57</v>
      </c>
      <c r="B13" s="5">
        <v>10000</v>
      </c>
      <c r="C13" s="6">
        <v>22000</v>
      </c>
      <c r="D13" s="7">
        <f t="shared" si="0"/>
        <v>220000000</v>
      </c>
      <c r="E13" s="155" t="s">
        <v>40</v>
      </c>
      <c r="F13" s="136">
        <f t="shared" si="1"/>
        <v>242218750</v>
      </c>
    </row>
    <row r="14" spans="1:6" ht="12.75">
      <c r="A14" s="66" t="s">
        <v>59</v>
      </c>
      <c r="B14" s="5">
        <v>10000</v>
      </c>
      <c r="C14" s="6">
        <v>22000</v>
      </c>
      <c r="D14" s="7">
        <f t="shared" si="0"/>
        <v>220000000</v>
      </c>
      <c r="E14" s="155" t="s">
        <v>41</v>
      </c>
      <c r="F14" s="136">
        <f t="shared" si="1"/>
        <v>242218750</v>
      </c>
    </row>
    <row r="15" spans="1:6" ht="12.75">
      <c r="A15" s="66" t="s">
        <v>58</v>
      </c>
      <c r="B15" s="5">
        <f>SUM(B6:B14)</f>
        <v>60000</v>
      </c>
      <c r="C15" s="6">
        <v>5000</v>
      </c>
      <c r="D15" s="7">
        <f t="shared" si="0"/>
        <v>300000000</v>
      </c>
      <c r="E15" s="155" t="s">
        <v>42</v>
      </c>
      <c r="F15" s="136">
        <f t="shared" si="1"/>
        <v>242218750</v>
      </c>
    </row>
    <row r="16" spans="1:6" ht="12.75">
      <c r="A16" s="75" t="s">
        <v>64</v>
      </c>
      <c r="B16" s="51">
        <f>B29</f>
        <v>45000</v>
      </c>
      <c r="C16" s="76">
        <f>C34</f>
        <v>9125</v>
      </c>
      <c r="D16" s="64">
        <f t="shared" si="0"/>
        <v>410625000</v>
      </c>
      <c r="E16" s="156" t="s">
        <v>43</v>
      </c>
      <c r="F16" s="157">
        <f t="shared" si="1"/>
        <v>242218750</v>
      </c>
    </row>
    <row r="17" spans="1:6" ht="12.75">
      <c r="A17" s="75" t="s">
        <v>101</v>
      </c>
      <c r="B17" s="33">
        <f>B57</f>
        <v>40000</v>
      </c>
      <c r="C17" s="76">
        <f>C62</f>
        <v>10950</v>
      </c>
      <c r="D17" s="64">
        <f>B17*C17</f>
        <v>438000000</v>
      </c>
      <c r="E17" s="158"/>
      <c r="F17" s="159"/>
    </row>
    <row r="18" spans="1:6" ht="12.75">
      <c r="A18" s="75" t="s">
        <v>102</v>
      </c>
      <c r="B18" s="33">
        <f>B85</f>
        <v>40000</v>
      </c>
      <c r="C18" s="101">
        <f>C90</f>
        <v>10950</v>
      </c>
      <c r="D18" s="102">
        <f>B18*C18</f>
        <v>438000000</v>
      </c>
      <c r="E18" s="158"/>
      <c r="F18" s="159"/>
    </row>
    <row r="19" spans="1:6" ht="12.75">
      <c r="A19" s="100"/>
      <c r="B19" s="33"/>
      <c r="C19" s="101"/>
      <c r="D19" s="102"/>
      <c r="E19" s="158"/>
      <c r="F19" s="159"/>
    </row>
    <row r="20" spans="1:6" ht="13.5" thickBot="1">
      <c r="A20" s="100"/>
      <c r="B20" s="33"/>
      <c r="C20" s="101"/>
      <c r="D20" s="102"/>
      <c r="E20" s="158"/>
      <c r="F20" s="159"/>
    </row>
    <row r="21" spans="1:6" ht="12.75">
      <c r="A21" s="73" t="s">
        <v>55</v>
      </c>
      <c r="B21" s="45">
        <f>SUM(B6:B14)</f>
        <v>60000</v>
      </c>
      <c r="C21" s="79"/>
      <c r="D21" s="80">
        <f>SUM(D6:D18)</f>
        <v>2906625000</v>
      </c>
      <c r="E21" s="160">
        <f>C21/1000000000</f>
        <v>0</v>
      </c>
      <c r="F21" s="144">
        <f>SUM(F5:F16)</f>
        <v>2906625000</v>
      </c>
    </row>
    <row r="22" spans="1:6" ht="13.5" thickBot="1">
      <c r="A22" s="67"/>
      <c r="B22" s="12"/>
      <c r="C22" s="12"/>
      <c r="D22" s="13"/>
      <c r="E22" s="161"/>
      <c r="F22" s="162"/>
    </row>
    <row r="23" spans="1:6" ht="12.75">
      <c r="A23" s="77"/>
      <c r="B23" s="78"/>
      <c r="C23" s="81"/>
      <c r="D23" s="82">
        <f>D21/1000000000</f>
        <v>2.906625</v>
      </c>
      <c r="E23" s="163">
        <f>D23</f>
        <v>2.906625</v>
      </c>
      <c r="F23" s="164">
        <f>F21/1000000000</f>
        <v>2.906625</v>
      </c>
    </row>
    <row r="24" spans="1:6" ht="13.5" thickBot="1">
      <c r="A24" s="67"/>
      <c r="B24" s="12"/>
      <c r="C24" s="24"/>
      <c r="D24" s="58" t="s">
        <v>6</v>
      </c>
      <c r="E24" s="165" t="s">
        <v>6</v>
      </c>
      <c r="F24" s="118" t="s">
        <v>6</v>
      </c>
    </row>
    <row r="25" spans="1:6" ht="12.75">
      <c r="A25" s="41"/>
      <c r="B25" s="41"/>
      <c r="C25" s="41"/>
      <c r="D25" s="43"/>
      <c r="E25" s="43"/>
      <c r="F25" s="43"/>
    </row>
    <row r="26" spans="1:6" ht="13.5" thickBot="1">
      <c r="A26" s="41"/>
      <c r="B26" s="41"/>
      <c r="C26" s="41"/>
      <c r="D26" s="43"/>
      <c r="E26" s="43"/>
      <c r="F26" s="43"/>
    </row>
    <row r="27" spans="1:5" ht="30" customHeight="1" thickBot="1">
      <c r="A27" s="225" t="s">
        <v>93</v>
      </c>
      <c r="B27" s="226"/>
      <c r="C27" s="226"/>
      <c r="D27" s="226"/>
      <c r="E27" s="227"/>
    </row>
    <row r="28" spans="1:5" ht="12.75" customHeight="1">
      <c r="A28" s="73" t="s">
        <v>73</v>
      </c>
      <c r="B28" s="45"/>
      <c r="C28" s="83" t="s">
        <v>68</v>
      </c>
      <c r="D28" s="228" t="s">
        <v>89</v>
      </c>
      <c r="E28" s="228" t="s">
        <v>90</v>
      </c>
    </row>
    <row r="29" spans="1:5" ht="12.75">
      <c r="A29" s="66" t="s">
        <v>65</v>
      </c>
      <c r="B29" s="5">
        <v>45000</v>
      </c>
      <c r="C29" s="8"/>
      <c r="D29" s="229"/>
      <c r="E29" s="229"/>
    </row>
    <row r="30" spans="1:5" ht="12.75">
      <c r="A30" s="66" t="s">
        <v>66</v>
      </c>
      <c r="B30" s="5"/>
      <c r="C30" s="7">
        <v>10</v>
      </c>
      <c r="D30" s="229"/>
      <c r="E30" s="229"/>
    </row>
    <row r="31" spans="1:5" ht="12.75">
      <c r="A31" s="66" t="s">
        <v>67</v>
      </c>
      <c r="B31" s="5"/>
      <c r="C31" s="7">
        <v>10</v>
      </c>
      <c r="D31" s="229"/>
      <c r="E31" s="229"/>
    </row>
    <row r="32" spans="1:5" ht="12.75">
      <c r="A32" s="66" t="s">
        <v>70</v>
      </c>
      <c r="B32" s="5"/>
      <c r="C32" s="7">
        <v>5</v>
      </c>
      <c r="D32" s="60"/>
      <c r="E32" s="60"/>
    </row>
    <row r="33" spans="1:5" ht="12.75">
      <c r="A33" s="66" t="s">
        <v>69</v>
      </c>
      <c r="B33" s="5"/>
      <c r="C33" s="7">
        <f>SUM(C30:C32)</f>
        <v>25</v>
      </c>
      <c r="D33" s="60"/>
      <c r="E33" s="60"/>
    </row>
    <row r="34" spans="1:5" ht="12.75">
      <c r="A34" s="75" t="s">
        <v>71</v>
      </c>
      <c r="B34" s="51">
        <v>365</v>
      </c>
      <c r="C34" s="64">
        <f>B34*C33</f>
        <v>9125</v>
      </c>
      <c r="D34" s="86" t="s">
        <v>61</v>
      </c>
      <c r="E34" s="86" t="s">
        <v>61</v>
      </c>
    </row>
    <row r="35" spans="1:5" ht="13.5" thickBot="1">
      <c r="A35" s="84" t="s">
        <v>72</v>
      </c>
      <c r="B35" s="19">
        <f>B29</f>
        <v>45000</v>
      </c>
      <c r="C35" s="53">
        <f>C34*B35</f>
        <v>410625000</v>
      </c>
      <c r="D35" s="85">
        <f>C35/B29</f>
        <v>9125</v>
      </c>
      <c r="E35" s="87">
        <f>D35-F40</f>
        <v>3075</v>
      </c>
    </row>
    <row r="37" ht="13.5" thickBot="1"/>
    <row r="38" spans="1:8" ht="12.75">
      <c r="A38" s="221" t="s">
        <v>92</v>
      </c>
      <c r="B38" s="88" t="s">
        <v>86</v>
      </c>
      <c r="C38" s="88" t="s">
        <v>78</v>
      </c>
      <c r="D38" s="88" t="s">
        <v>68</v>
      </c>
      <c r="E38" s="88" t="s">
        <v>76</v>
      </c>
      <c r="F38" s="88" t="s">
        <v>61</v>
      </c>
      <c r="G38" s="96" t="s">
        <v>88</v>
      </c>
      <c r="H38" s="223" t="s">
        <v>91</v>
      </c>
    </row>
    <row r="39" spans="1:8" ht="12.75">
      <c r="A39" s="222"/>
      <c r="B39" s="51">
        <v>8</v>
      </c>
      <c r="C39" s="76">
        <v>10</v>
      </c>
      <c r="D39" s="76">
        <f>B39*C39</f>
        <v>80</v>
      </c>
      <c r="E39" s="76">
        <f>D39*22</f>
        <v>1760</v>
      </c>
      <c r="F39" s="76">
        <f>E39*11</f>
        <v>19360</v>
      </c>
      <c r="G39" s="97"/>
      <c r="H39" s="224"/>
    </row>
    <row r="40" spans="1:8" ht="12.75">
      <c r="A40" s="93" t="s">
        <v>77</v>
      </c>
      <c r="B40" s="94"/>
      <c r="C40" s="94"/>
      <c r="D40" s="95">
        <f>C33</f>
        <v>25</v>
      </c>
      <c r="E40" s="95">
        <f>D40*22</f>
        <v>550</v>
      </c>
      <c r="F40" s="95">
        <f>E40*11</f>
        <v>6050</v>
      </c>
      <c r="G40" s="98">
        <f>B29</f>
        <v>45000</v>
      </c>
      <c r="H40" s="99">
        <f>F40*G40</f>
        <v>272250000</v>
      </c>
    </row>
    <row r="41" spans="1:8" ht="12.75">
      <c r="A41" s="77" t="s">
        <v>79</v>
      </c>
      <c r="B41" s="78"/>
      <c r="C41" s="78"/>
      <c r="D41" s="91">
        <f>D39-D40</f>
        <v>55</v>
      </c>
      <c r="E41" s="91">
        <f>E39-E40</f>
        <v>1210</v>
      </c>
      <c r="F41" s="91">
        <f>F39-F40</f>
        <v>13310</v>
      </c>
      <c r="G41" s="78"/>
      <c r="H41" s="92"/>
    </row>
    <row r="42" spans="1:8" ht="12.75">
      <c r="A42" s="66"/>
      <c r="B42" s="5"/>
      <c r="C42" s="5"/>
      <c r="D42" s="5"/>
      <c r="E42" s="5">
        <f>E40/E39*100</f>
        <v>31.25</v>
      </c>
      <c r="F42" s="5"/>
      <c r="G42" s="5"/>
      <c r="H42" s="8"/>
    </row>
    <row r="43" spans="1:8" ht="12.75">
      <c r="A43" s="66"/>
      <c r="B43" s="5"/>
      <c r="C43" s="5"/>
      <c r="D43" s="5"/>
      <c r="E43" s="5"/>
      <c r="F43" s="5"/>
      <c r="G43" s="5"/>
      <c r="H43" s="8"/>
    </row>
    <row r="44" spans="1:8" ht="12.75">
      <c r="A44" s="66"/>
      <c r="B44" s="5"/>
      <c r="C44" s="5"/>
      <c r="D44" s="5"/>
      <c r="E44" s="5"/>
      <c r="F44" s="5"/>
      <c r="G44" s="5"/>
      <c r="H44" s="8"/>
    </row>
    <row r="45" spans="1:8" ht="12.75">
      <c r="A45" s="66" t="s">
        <v>75</v>
      </c>
      <c r="B45" s="5" t="s">
        <v>87</v>
      </c>
      <c r="C45" s="89" t="s">
        <v>86</v>
      </c>
      <c r="D45" s="89" t="s">
        <v>78</v>
      </c>
      <c r="E45" s="89" t="s">
        <v>68</v>
      </c>
      <c r="F45" s="89" t="s">
        <v>76</v>
      </c>
      <c r="G45" s="89" t="s">
        <v>61</v>
      </c>
      <c r="H45" s="8"/>
    </row>
    <row r="46" spans="1:8" ht="12.75">
      <c r="A46" s="66" t="s">
        <v>80</v>
      </c>
      <c r="B46" s="5">
        <v>38</v>
      </c>
      <c r="C46" s="5">
        <v>8</v>
      </c>
      <c r="D46" s="6">
        <v>8</v>
      </c>
      <c r="E46" s="6">
        <f>C46*D46</f>
        <v>64</v>
      </c>
      <c r="F46" s="6">
        <f>E46*22</f>
        <v>1408</v>
      </c>
      <c r="G46" s="6">
        <f>F46*11</f>
        <v>15488</v>
      </c>
      <c r="H46" s="8"/>
    </row>
    <row r="47" spans="1:8" ht="12.75">
      <c r="A47" s="66" t="s">
        <v>81</v>
      </c>
      <c r="B47" s="5">
        <v>30</v>
      </c>
      <c r="C47" s="5">
        <v>8</v>
      </c>
      <c r="D47" s="6">
        <v>10</v>
      </c>
      <c r="E47" s="6">
        <f>C47*D47</f>
        <v>80</v>
      </c>
      <c r="F47" s="6">
        <f>E47*22</f>
        <v>1760</v>
      </c>
      <c r="G47" s="6">
        <f>F47*11</f>
        <v>19360</v>
      </c>
      <c r="H47" s="8"/>
    </row>
    <row r="48" spans="1:8" ht="12.75">
      <c r="A48" s="66" t="s">
        <v>82</v>
      </c>
      <c r="B48" s="5">
        <v>20</v>
      </c>
      <c r="C48" s="5">
        <v>8</v>
      </c>
      <c r="D48" s="6">
        <v>12</v>
      </c>
      <c r="E48" s="6">
        <f>C48*D48</f>
        <v>96</v>
      </c>
      <c r="F48" s="6">
        <f>E48*22</f>
        <v>2112</v>
      </c>
      <c r="G48" s="6">
        <f>F48*11</f>
        <v>23232</v>
      </c>
      <c r="H48" s="8"/>
    </row>
    <row r="49" spans="1:8" ht="12.75">
      <c r="A49" s="66" t="s">
        <v>83</v>
      </c>
      <c r="B49" s="5">
        <v>2</v>
      </c>
      <c r="C49" s="5">
        <v>8</v>
      </c>
      <c r="D49" s="6">
        <v>14</v>
      </c>
      <c r="E49" s="6">
        <f>C49*D49</f>
        <v>112</v>
      </c>
      <c r="F49" s="6">
        <f>E49*22</f>
        <v>2464</v>
      </c>
      <c r="G49" s="6">
        <f>F49*11</f>
        <v>27104</v>
      </c>
      <c r="H49" s="8"/>
    </row>
    <row r="50" spans="1:8" ht="12.75">
      <c r="A50" s="66" t="s">
        <v>84</v>
      </c>
      <c r="B50" s="5">
        <v>10</v>
      </c>
      <c r="C50" s="5">
        <v>8</v>
      </c>
      <c r="D50" s="6">
        <v>12</v>
      </c>
      <c r="E50" s="6">
        <f>C50*D50</f>
        <v>96</v>
      </c>
      <c r="F50" s="6">
        <f>E50*22</f>
        <v>2112</v>
      </c>
      <c r="G50" s="6">
        <f>F50*11</f>
        <v>23232</v>
      </c>
      <c r="H50" s="8"/>
    </row>
    <row r="51" spans="1:8" ht="13.5" thickBot="1">
      <c r="A51" s="67" t="s">
        <v>85</v>
      </c>
      <c r="B51" s="12">
        <f>SUM(B46:B50)</f>
        <v>100</v>
      </c>
      <c r="C51" s="12"/>
      <c r="D51" s="90">
        <f>(B46*D46+B47*D47+B48*D48+B49*D49+B50*D50)/100</f>
        <v>9.92</v>
      </c>
      <c r="E51" s="12"/>
      <c r="F51" s="12"/>
      <c r="G51" s="12"/>
      <c r="H51" s="13"/>
    </row>
    <row r="54" ht="13.5" thickBot="1"/>
    <row r="55" spans="1:5" ht="13.5" thickBot="1">
      <c r="A55" s="225" t="s">
        <v>95</v>
      </c>
      <c r="B55" s="226"/>
      <c r="C55" s="226"/>
      <c r="D55" s="226"/>
      <c r="E55" s="227"/>
    </row>
    <row r="56" spans="1:5" ht="12.75">
      <c r="A56" s="73"/>
      <c r="B56" s="45"/>
      <c r="C56" s="83" t="s">
        <v>68</v>
      </c>
      <c r="D56" s="228" t="s">
        <v>89</v>
      </c>
      <c r="E56" s="228" t="s">
        <v>90</v>
      </c>
    </row>
    <row r="57" spans="1:5" ht="12.75">
      <c r="A57" s="66" t="s">
        <v>96</v>
      </c>
      <c r="B57" s="5">
        <v>40000</v>
      </c>
      <c r="C57" s="8"/>
      <c r="D57" s="229"/>
      <c r="E57" s="229"/>
    </row>
    <row r="58" spans="1:5" ht="12.75">
      <c r="A58" s="66" t="s">
        <v>66</v>
      </c>
      <c r="B58" s="5"/>
      <c r="C58" s="7">
        <v>10</v>
      </c>
      <c r="D58" s="229"/>
      <c r="E58" s="229"/>
    </row>
    <row r="59" spans="1:5" ht="12.75">
      <c r="A59" s="66" t="s">
        <v>67</v>
      </c>
      <c r="B59" s="5"/>
      <c r="C59" s="7">
        <v>10</v>
      </c>
      <c r="D59" s="229"/>
      <c r="E59" s="229"/>
    </row>
    <row r="60" spans="1:5" ht="12.75">
      <c r="A60" s="66" t="s">
        <v>70</v>
      </c>
      <c r="B60" s="5"/>
      <c r="C60" s="7">
        <v>10</v>
      </c>
      <c r="D60" s="60"/>
      <c r="E60" s="60"/>
    </row>
    <row r="61" spans="1:5" ht="12.75">
      <c r="A61" s="66" t="s">
        <v>97</v>
      </c>
      <c r="B61" s="5"/>
      <c r="C61" s="7">
        <f>SUM(C58:C60)</f>
        <v>30</v>
      </c>
      <c r="D61" s="60"/>
      <c r="E61" s="60"/>
    </row>
    <row r="62" spans="1:5" ht="12.75">
      <c r="A62" s="75" t="s">
        <v>99</v>
      </c>
      <c r="B62" s="51">
        <v>365</v>
      </c>
      <c r="C62" s="64">
        <f>B62*C61</f>
        <v>10950</v>
      </c>
      <c r="D62" s="86" t="s">
        <v>61</v>
      </c>
      <c r="E62" s="86" t="s">
        <v>61</v>
      </c>
    </row>
    <row r="63" spans="1:5" ht="13.5" thickBot="1">
      <c r="A63" s="84" t="s">
        <v>98</v>
      </c>
      <c r="B63" s="19">
        <f>B57</f>
        <v>40000</v>
      </c>
      <c r="C63" s="53">
        <f>C62*B63</f>
        <v>438000000</v>
      </c>
      <c r="D63" s="85">
        <f>C63/B57</f>
        <v>10950</v>
      </c>
      <c r="E63" s="87">
        <f>D63-F68</f>
        <v>3690</v>
      </c>
    </row>
    <row r="65" ht="13.5" thickBot="1"/>
    <row r="66" spans="1:8" ht="12.75">
      <c r="A66" s="221" t="s">
        <v>100</v>
      </c>
      <c r="B66" s="88" t="s">
        <v>86</v>
      </c>
      <c r="C66" s="88" t="s">
        <v>78</v>
      </c>
      <c r="D66" s="88" t="s">
        <v>68</v>
      </c>
      <c r="E66" s="88" t="s">
        <v>76</v>
      </c>
      <c r="F66" s="88" t="s">
        <v>61</v>
      </c>
      <c r="G66" s="96" t="s">
        <v>88</v>
      </c>
      <c r="H66" s="223" t="s">
        <v>91</v>
      </c>
    </row>
    <row r="67" spans="1:8" ht="12.75">
      <c r="A67" s="222"/>
      <c r="B67" s="51">
        <v>8</v>
      </c>
      <c r="C67" s="76">
        <v>10</v>
      </c>
      <c r="D67" s="76">
        <f>B67*C67</f>
        <v>80</v>
      </c>
      <c r="E67" s="76">
        <f>D67*22</f>
        <v>1760</v>
      </c>
      <c r="F67" s="76">
        <f>E67*11</f>
        <v>19360</v>
      </c>
      <c r="G67" s="97"/>
      <c r="H67" s="224"/>
    </row>
    <row r="68" spans="1:8" ht="12.75">
      <c r="A68" s="93" t="s">
        <v>110</v>
      </c>
      <c r="B68" s="94"/>
      <c r="C68" s="94"/>
      <c r="D68" s="95">
        <f>C61</f>
        <v>30</v>
      </c>
      <c r="E68" s="95">
        <f>D68*22</f>
        <v>660</v>
      </c>
      <c r="F68" s="95">
        <f>E68*11</f>
        <v>7260</v>
      </c>
      <c r="G68" s="98">
        <f>B57</f>
        <v>40000</v>
      </c>
      <c r="H68" s="99">
        <f>F68*G68</f>
        <v>290400000</v>
      </c>
    </row>
    <row r="69" spans="1:8" ht="12.75">
      <c r="A69" s="104" t="s">
        <v>111</v>
      </c>
      <c r="B69" s="78"/>
      <c r="C69" s="78"/>
      <c r="D69" s="91">
        <f>D67-D68</f>
        <v>50</v>
      </c>
      <c r="E69" s="91">
        <f>E67-E68</f>
        <v>1100</v>
      </c>
      <c r="F69" s="91">
        <f>F67-F68</f>
        <v>12100</v>
      </c>
      <c r="G69" s="78"/>
      <c r="H69" s="92"/>
    </row>
    <row r="70" spans="1:8" ht="12.75">
      <c r="A70" s="66"/>
      <c r="B70" s="5"/>
      <c r="C70" s="5"/>
      <c r="D70" s="5"/>
      <c r="E70" s="5">
        <f>E68/E67*100</f>
        <v>37.5</v>
      </c>
      <c r="F70" s="5"/>
      <c r="G70" s="5"/>
      <c r="H70" s="8"/>
    </row>
    <row r="71" spans="1:8" ht="12.75">
      <c r="A71" s="66"/>
      <c r="B71" s="5"/>
      <c r="C71" s="5"/>
      <c r="D71" s="5"/>
      <c r="E71" s="5"/>
      <c r="F71" s="5"/>
      <c r="G71" s="5"/>
      <c r="H71" s="8"/>
    </row>
    <row r="72" spans="1:8" ht="12.75">
      <c r="A72" s="66"/>
      <c r="B72" s="5"/>
      <c r="C72" s="5"/>
      <c r="D72" s="5"/>
      <c r="E72" s="5"/>
      <c r="F72" s="5"/>
      <c r="G72" s="5"/>
      <c r="H72" s="8"/>
    </row>
    <row r="73" spans="1:8" ht="12.75">
      <c r="A73" s="103" t="s">
        <v>112</v>
      </c>
      <c r="B73" s="5" t="s">
        <v>87</v>
      </c>
      <c r="C73" s="89" t="s">
        <v>86</v>
      </c>
      <c r="D73" s="89" t="s">
        <v>78</v>
      </c>
      <c r="E73" s="89" t="s">
        <v>68</v>
      </c>
      <c r="F73" s="89" t="s">
        <v>76</v>
      </c>
      <c r="G73" s="89" t="s">
        <v>61</v>
      </c>
      <c r="H73" s="8"/>
    </row>
    <row r="74" spans="1:8" ht="12.75">
      <c r="A74" s="66" t="s">
        <v>80</v>
      </c>
      <c r="B74" s="5">
        <v>38</v>
      </c>
      <c r="C74" s="5">
        <v>8</v>
      </c>
      <c r="D74" s="6">
        <v>8</v>
      </c>
      <c r="E74" s="6">
        <f>C74*D74</f>
        <v>64</v>
      </c>
      <c r="F74" s="6">
        <f>E74*22</f>
        <v>1408</v>
      </c>
      <c r="G74" s="6">
        <f>F74*11</f>
        <v>15488</v>
      </c>
      <c r="H74" s="8"/>
    </row>
    <row r="75" spans="1:8" ht="12.75">
      <c r="A75" s="66" t="s">
        <v>81</v>
      </c>
      <c r="B75" s="5">
        <v>30</v>
      </c>
      <c r="C75" s="5">
        <v>8</v>
      </c>
      <c r="D75" s="6">
        <v>10</v>
      </c>
      <c r="E75" s="6">
        <f>C75*D75</f>
        <v>80</v>
      </c>
      <c r="F75" s="6">
        <f>E75*22</f>
        <v>1760</v>
      </c>
      <c r="G75" s="6">
        <f>F75*11</f>
        <v>19360</v>
      </c>
      <c r="H75" s="8"/>
    </row>
    <row r="76" spans="1:8" ht="12.75">
      <c r="A76" s="66" t="s">
        <v>82</v>
      </c>
      <c r="B76" s="5">
        <v>20</v>
      </c>
      <c r="C76" s="5">
        <v>8</v>
      </c>
      <c r="D76" s="6">
        <v>12</v>
      </c>
      <c r="E76" s="6">
        <f>C76*D76</f>
        <v>96</v>
      </c>
      <c r="F76" s="6">
        <f>E76*22</f>
        <v>2112</v>
      </c>
      <c r="G76" s="6">
        <f>F76*11</f>
        <v>23232</v>
      </c>
      <c r="H76" s="8"/>
    </row>
    <row r="77" spans="1:8" ht="12.75">
      <c r="A77" s="66" t="s">
        <v>83</v>
      </c>
      <c r="B77" s="5">
        <v>2</v>
      </c>
      <c r="C77" s="5">
        <v>8</v>
      </c>
      <c r="D77" s="6">
        <v>14</v>
      </c>
      <c r="E77" s="6">
        <f>C77*D77</f>
        <v>112</v>
      </c>
      <c r="F77" s="6">
        <f>E77*22</f>
        <v>2464</v>
      </c>
      <c r="G77" s="6">
        <f>F77*11</f>
        <v>27104</v>
      </c>
      <c r="H77" s="8"/>
    </row>
    <row r="78" spans="1:8" ht="12.75">
      <c r="A78" s="66" t="s">
        <v>84</v>
      </c>
      <c r="B78" s="5">
        <v>10</v>
      </c>
      <c r="C78" s="5">
        <v>8</v>
      </c>
      <c r="D78" s="6">
        <v>12</v>
      </c>
      <c r="E78" s="6">
        <f>C78*D78</f>
        <v>96</v>
      </c>
      <c r="F78" s="6">
        <f>E78*22</f>
        <v>2112</v>
      </c>
      <c r="G78" s="6">
        <f>F78*11</f>
        <v>23232</v>
      </c>
      <c r="H78" s="8"/>
    </row>
    <row r="79" spans="1:8" ht="13.5" thickBot="1">
      <c r="A79" s="67" t="s">
        <v>85</v>
      </c>
      <c r="B79" s="12">
        <f>SUM(B74:B78)</f>
        <v>100</v>
      </c>
      <c r="C79" s="12"/>
      <c r="D79" s="90">
        <f>(B74*D74+B75*D75+B76*D76+B77*D77+B78*D78)/100</f>
        <v>9.92</v>
      </c>
      <c r="E79" s="12"/>
      <c r="F79" s="12"/>
      <c r="G79" s="12"/>
      <c r="H79" s="13"/>
    </row>
    <row r="82" ht="13.5" thickBot="1"/>
    <row r="83" spans="1:5" ht="13.5" thickBot="1">
      <c r="A83" s="225" t="s">
        <v>103</v>
      </c>
      <c r="B83" s="226"/>
      <c r="C83" s="226"/>
      <c r="D83" s="226"/>
      <c r="E83" s="227"/>
    </row>
    <row r="84" spans="1:5" ht="12.75">
      <c r="A84" s="73"/>
      <c r="B84" s="45"/>
      <c r="C84" s="83" t="s">
        <v>68</v>
      </c>
      <c r="D84" s="228" t="s">
        <v>116</v>
      </c>
      <c r="E84" s="228" t="s">
        <v>117</v>
      </c>
    </row>
    <row r="85" spans="1:5" ht="12.75">
      <c r="A85" s="66" t="s">
        <v>104</v>
      </c>
      <c r="B85" s="5">
        <v>40000</v>
      </c>
      <c r="C85" s="8"/>
      <c r="D85" s="229"/>
      <c r="E85" s="229"/>
    </row>
    <row r="86" spans="1:5" ht="12.75">
      <c r="A86" s="66" t="s">
        <v>66</v>
      </c>
      <c r="B86" s="5"/>
      <c r="C86" s="7">
        <v>10</v>
      </c>
      <c r="D86" s="229"/>
      <c r="E86" s="229"/>
    </row>
    <row r="87" spans="1:5" ht="12.75">
      <c r="A87" s="66" t="s">
        <v>67</v>
      </c>
      <c r="B87" s="5"/>
      <c r="C87" s="7">
        <v>10</v>
      </c>
      <c r="D87" s="229"/>
      <c r="E87" s="229"/>
    </row>
    <row r="88" spans="1:5" ht="12.75">
      <c r="A88" s="66" t="s">
        <v>70</v>
      </c>
      <c r="B88" s="5"/>
      <c r="C88" s="7">
        <v>10</v>
      </c>
      <c r="D88" s="60"/>
      <c r="E88" s="60"/>
    </row>
    <row r="89" spans="1:5" ht="12.75">
      <c r="A89" s="66" t="s">
        <v>113</v>
      </c>
      <c r="B89" s="5"/>
      <c r="C89" s="7">
        <f>SUM(C86:C88)</f>
        <v>30</v>
      </c>
      <c r="D89" s="60"/>
      <c r="E89" s="60"/>
    </row>
    <row r="90" spans="1:5" ht="12.75">
      <c r="A90" s="75" t="s">
        <v>114</v>
      </c>
      <c r="B90" s="51">
        <v>365</v>
      </c>
      <c r="C90" s="64">
        <f>B90*C89</f>
        <v>10950</v>
      </c>
      <c r="D90" s="86" t="s">
        <v>61</v>
      </c>
      <c r="E90" s="86" t="s">
        <v>61</v>
      </c>
    </row>
    <row r="91" spans="1:5" ht="13.5" thickBot="1">
      <c r="A91" s="84" t="s">
        <v>115</v>
      </c>
      <c r="B91" s="19">
        <f>B85</f>
        <v>40000</v>
      </c>
      <c r="C91" s="53">
        <f>C90*B91</f>
        <v>438000000</v>
      </c>
      <c r="D91" s="85">
        <f>C91/B85</f>
        <v>10950</v>
      </c>
      <c r="E91" s="87">
        <f>D91-F96</f>
        <v>8530</v>
      </c>
    </row>
    <row r="93" ht="13.5" thickBot="1"/>
    <row r="94" spans="1:8" ht="12.75">
      <c r="A94" s="221" t="s">
        <v>105</v>
      </c>
      <c r="B94" s="88" t="s">
        <v>86</v>
      </c>
      <c r="C94" s="88" t="s">
        <v>78</v>
      </c>
      <c r="D94" s="88" t="s">
        <v>68</v>
      </c>
      <c r="E94" s="88" t="s">
        <v>76</v>
      </c>
      <c r="F94" s="88" t="s">
        <v>61</v>
      </c>
      <c r="G94" s="96" t="s">
        <v>107</v>
      </c>
      <c r="H94" s="223" t="s">
        <v>91</v>
      </c>
    </row>
    <row r="95" spans="1:8" ht="12.75">
      <c r="A95" s="222"/>
      <c r="B95" s="51">
        <v>4</v>
      </c>
      <c r="C95" s="76">
        <v>6</v>
      </c>
      <c r="D95" s="76">
        <f>B95*C95</f>
        <v>24</v>
      </c>
      <c r="E95" s="76">
        <f>D95*22</f>
        <v>528</v>
      </c>
      <c r="F95" s="76">
        <f>E95*11</f>
        <v>5808</v>
      </c>
      <c r="G95" s="97"/>
      <c r="H95" s="224"/>
    </row>
    <row r="96" spans="1:8" ht="12.75">
      <c r="A96" s="93" t="s">
        <v>106</v>
      </c>
      <c r="B96" s="94"/>
      <c r="C96" s="94"/>
      <c r="D96" s="95">
        <v>10</v>
      </c>
      <c r="E96" s="95">
        <f>D96*22</f>
        <v>220</v>
      </c>
      <c r="F96" s="95">
        <f>E96*11</f>
        <v>2420</v>
      </c>
      <c r="G96" s="98">
        <f>B85</f>
        <v>40000</v>
      </c>
      <c r="H96" s="99">
        <f>F96*G96</f>
        <v>96800000</v>
      </c>
    </row>
    <row r="97" spans="1:8" ht="12.75">
      <c r="A97" s="77" t="s">
        <v>108</v>
      </c>
      <c r="B97" s="78"/>
      <c r="C97" s="78"/>
      <c r="D97" s="91">
        <f>D95-D96</f>
        <v>14</v>
      </c>
      <c r="E97" s="91">
        <f>E95-E96</f>
        <v>308</v>
      </c>
      <c r="F97" s="91">
        <f>F95-F96</f>
        <v>3388</v>
      </c>
      <c r="G97" s="78"/>
      <c r="H97" s="92"/>
    </row>
    <row r="98" spans="1:8" ht="12.75">
      <c r="A98" s="66"/>
      <c r="B98" s="5"/>
      <c r="C98" s="5"/>
      <c r="D98" s="5"/>
      <c r="E98" s="6">
        <f>E96/E95*100</f>
        <v>41.66666666666667</v>
      </c>
      <c r="F98" s="5"/>
      <c r="G98" s="5"/>
      <c r="H98" s="8"/>
    </row>
    <row r="99" spans="1:8" ht="12.75">
      <c r="A99" s="66"/>
      <c r="B99" s="5"/>
      <c r="C99" s="5"/>
      <c r="D99" s="5"/>
      <c r="E99" s="5"/>
      <c r="F99" s="5"/>
      <c r="G99" s="5"/>
      <c r="H99" s="8"/>
    </row>
    <row r="100" spans="1:8" ht="12.75">
      <c r="A100" s="66"/>
      <c r="B100" s="5"/>
      <c r="C100" s="5"/>
      <c r="D100" s="5"/>
      <c r="E100" s="5"/>
      <c r="F100" s="5"/>
      <c r="G100" s="5"/>
      <c r="H100" s="8"/>
    </row>
    <row r="101" spans="1:8" ht="12.75">
      <c r="A101" s="66" t="s">
        <v>109</v>
      </c>
      <c r="B101" s="5" t="s">
        <v>87</v>
      </c>
      <c r="C101" s="89" t="s">
        <v>86</v>
      </c>
      <c r="D101" s="89" t="s">
        <v>78</v>
      </c>
      <c r="E101" s="89" t="s">
        <v>68</v>
      </c>
      <c r="F101" s="89" t="s">
        <v>76</v>
      </c>
      <c r="G101" s="89" t="s">
        <v>61</v>
      </c>
      <c r="H101" s="8"/>
    </row>
    <row r="102" spans="1:8" ht="12.75">
      <c r="A102" s="66" t="s">
        <v>80</v>
      </c>
      <c r="B102" s="5">
        <v>38</v>
      </c>
      <c r="C102" s="5">
        <v>8</v>
      </c>
      <c r="D102" s="6">
        <v>4</v>
      </c>
      <c r="E102" s="6">
        <f>C102*D102</f>
        <v>32</v>
      </c>
      <c r="F102" s="6">
        <f>E102*22</f>
        <v>704</v>
      </c>
      <c r="G102" s="6">
        <f>F102*11</f>
        <v>7744</v>
      </c>
      <c r="H102" s="8"/>
    </row>
    <row r="103" spans="1:8" ht="12.75">
      <c r="A103" s="66" t="s">
        <v>81</v>
      </c>
      <c r="B103" s="5">
        <v>30</v>
      </c>
      <c r="C103" s="5">
        <v>8</v>
      </c>
      <c r="D103" s="6">
        <v>6</v>
      </c>
      <c r="E103" s="6">
        <f>C103*D103</f>
        <v>48</v>
      </c>
      <c r="F103" s="6">
        <f>E103*22</f>
        <v>1056</v>
      </c>
      <c r="G103" s="6">
        <f>F103*11</f>
        <v>11616</v>
      </c>
      <c r="H103" s="8"/>
    </row>
    <row r="104" spans="1:8" ht="12.75">
      <c r="A104" s="66" t="s">
        <v>82</v>
      </c>
      <c r="B104" s="5">
        <v>20</v>
      </c>
      <c r="C104" s="5">
        <v>8</v>
      </c>
      <c r="D104" s="6">
        <v>8</v>
      </c>
      <c r="E104" s="6">
        <f>C104*D104</f>
        <v>64</v>
      </c>
      <c r="F104" s="6">
        <f>E104*22</f>
        <v>1408</v>
      </c>
      <c r="G104" s="6">
        <f>F104*11</f>
        <v>15488</v>
      </c>
      <c r="H104" s="8"/>
    </row>
    <row r="105" spans="1:8" ht="12.75">
      <c r="A105" s="66" t="s">
        <v>83</v>
      </c>
      <c r="B105" s="5">
        <v>2</v>
      </c>
      <c r="C105" s="5">
        <v>8</v>
      </c>
      <c r="D105" s="6">
        <v>10</v>
      </c>
      <c r="E105" s="6">
        <f>C105*D105</f>
        <v>80</v>
      </c>
      <c r="F105" s="6">
        <f>E105*22</f>
        <v>1760</v>
      </c>
      <c r="G105" s="6">
        <f>F105*11</f>
        <v>19360</v>
      </c>
      <c r="H105" s="8"/>
    </row>
    <row r="106" spans="1:8" ht="12.75">
      <c r="A106" s="66" t="s">
        <v>84</v>
      </c>
      <c r="B106" s="5">
        <v>10</v>
      </c>
      <c r="C106" s="5">
        <v>8</v>
      </c>
      <c r="D106" s="6">
        <v>8</v>
      </c>
      <c r="E106" s="6">
        <f>C106*D106</f>
        <v>64</v>
      </c>
      <c r="F106" s="6">
        <f>E106*22</f>
        <v>1408</v>
      </c>
      <c r="G106" s="6">
        <f>F106*11</f>
        <v>15488</v>
      </c>
      <c r="H106" s="8"/>
    </row>
    <row r="107" spans="1:8" ht="13.5" thickBot="1">
      <c r="A107" s="67" t="s">
        <v>85</v>
      </c>
      <c r="B107" s="12">
        <f>SUM(B102:B106)</f>
        <v>100</v>
      </c>
      <c r="C107" s="12"/>
      <c r="D107" s="90">
        <f>(B102*D102+B103*D103+B104*D104+B105*D105+B106*D106)/100</f>
        <v>5.92</v>
      </c>
      <c r="E107" s="12"/>
      <c r="F107" s="12"/>
      <c r="G107" s="12"/>
      <c r="H107" s="13"/>
    </row>
  </sheetData>
  <mergeCells count="17">
    <mergeCell ref="A1:F2"/>
    <mergeCell ref="D28:D31"/>
    <mergeCell ref="E28:E31"/>
    <mergeCell ref="H38:H39"/>
    <mergeCell ref="A38:A39"/>
    <mergeCell ref="A27:E27"/>
    <mergeCell ref="C4:D4"/>
    <mergeCell ref="A55:E55"/>
    <mergeCell ref="D56:D59"/>
    <mergeCell ref="E56:E59"/>
    <mergeCell ref="A66:A67"/>
    <mergeCell ref="A94:A95"/>
    <mergeCell ref="H94:H95"/>
    <mergeCell ref="H66:H67"/>
    <mergeCell ref="A83:E83"/>
    <mergeCell ref="D84:D87"/>
    <mergeCell ref="E84:E8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workbookViewId="0" topLeftCell="A8">
      <selection activeCell="D22" sqref="D22"/>
    </sheetView>
  </sheetViews>
  <sheetFormatPr defaultColWidth="9.140625" defaultRowHeight="12.75"/>
  <cols>
    <col min="1" max="1" width="15.7109375" style="1" customWidth="1"/>
    <col min="2" max="2" width="10.7109375" style="0" customWidth="1"/>
    <col min="3" max="3" width="15.7109375" style="0" customWidth="1"/>
    <col min="4" max="9" width="10.7109375" style="0" customWidth="1"/>
    <col min="10" max="10" width="12.7109375" style="0" customWidth="1"/>
    <col min="11" max="12" width="14.7109375" style="0" customWidth="1"/>
  </cols>
  <sheetData>
    <row r="1" spans="1:12" ht="30" customHeight="1" thickBot="1">
      <c r="A1" s="196" t="s">
        <v>138</v>
      </c>
      <c r="B1" s="197"/>
      <c r="C1" s="197"/>
      <c r="D1" s="197"/>
      <c r="E1" s="197"/>
      <c r="F1" s="197"/>
      <c r="G1" s="197"/>
      <c r="H1" s="197"/>
      <c r="I1" s="198"/>
      <c r="K1" s="109"/>
      <c r="L1" s="109"/>
    </row>
    <row r="2" spans="1:12" s="2" customFormat="1" ht="49.5" customHeight="1">
      <c r="A2" s="15"/>
      <c r="B2" s="16" t="s">
        <v>2</v>
      </c>
      <c r="C2" s="16" t="s">
        <v>1</v>
      </c>
      <c r="D2" s="16" t="s">
        <v>23</v>
      </c>
      <c r="E2" s="16" t="s">
        <v>0</v>
      </c>
      <c r="F2" s="16" t="s">
        <v>3</v>
      </c>
      <c r="G2" s="16" t="s">
        <v>4</v>
      </c>
      <c r="H2" s="16" t="s">
        <v>5</v>
      </c>
      <c r="I2" s="17" t="s">
        <v>7</v>
      </c>
      <c r="K2" s="110"/>
      <c r="L2" s="110"/>
    </row>
    <row r="3" spans="1:12" ht="49.5" customHeight="1" thickBot="1">
      <c r="A3" s="108" t="s">
        <v>153</v>
      </c>
      <c r="B3" s="19">
        <f>A25</f>
        <v>1000000</v>
      </c>
      <c r="C3" s="20">
        <f>B3/1000000</f>
        <v>1</v>
      </c>
      <c r="D3" s="21">
        <v>2000</v>
      </c>
      <c r="E3" s="21">
        <f>B3*D3/1000000000</f>
        <v>2</v>
      </c>
      <c r="F3" s="20">
        <v>6</v>
      </c>
      <c r="G3" s="20">
        <f>E5</f>
        <v>2.54</v>
      </c>
      <c r="H3" s="22">
        <f>H18</f>
        <v>0.0359940082972583</v>
      </c>
      <c r="I3" s="23">
        <f>D3/12</f>
        <v>166.66666666666666</v>
      </c>
      <c r="K3" s="109"/>
      <c r="L3" s="109"/>
    </row>
    <row r="4" spans="1:12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44" t="s">
        <v>31</v>
      </c>
      <c r="I4" s="49" t="s">
        <v>7</v>
      </c>
      <c r="J4" s="62" t="s">
        <v>44</v>
      </c>
      <c r="K4" s="111" t="s">
        <v>148</v>
      </c>
      <c r="L4" s="111" t="s">
        <v>148</v>
      </c>
    </row>
    <row r="5" spans="1:12" ht="12.75">
      <c r="A5" s="39">
        <f>D28*1000000000</f>
        <v>600000000</v>
      </c>
      <c r="B5" s="37"/>
      <c r="C5" s="6">
        <f>A5</f>
        <v>600000000</v>
      </c>
      <c r="D5" s="27">
        <v>0</v>
      </c>
      <c r="E5" s="29">
        <v>2.54</v>
      </c>
      <c r="F5" s="199"/>
      <c r="G5" s="200"/>
      <c r="H5" s="66"/>
      <c r="I5" s="8"/>
      <c r="J5" s="107" t="s">
        <v>149</v>
      </c>
      <c r="K5" s="112" t="s">
        <v>150</v>
      </c>
      <c r="L5" s="112" t="s">
        <v>151</v>
      </c>
    </row>
    <row r="6" spans="1:12" ht="12.75">
      <c r="A6" s="14"/>
      <c r="B6" s="9"/>
      <c r="C6" s="6">
        <f>C5</f>
        <v>600000000</v>
      </c>
      <c r="D6" s="27">
        <v>1</v>
      </c>
      <c r="E6" s="29">
        <f>E5</f>
        <v>2.54</v>
      </c>
      <c r="F6" s="192">
        <f>C6*E6/(100*D6)</f>
        <v>15240000</v>
      </c>
      <c r="G6" s="193"/>
      <c r="H6" s="66" t="s">
        <v>32</v>
      </c>
      <c r="I6" s="7">
        <f>I3</f>
        <v>166.66666666666666</v>
      </c>
      <c r="J6" s="105">
        <f>F18/12</f>
        <v>2999500.691438192</v>
      </c>
      <c r="K6" s="113"/>
      <c r="L6" s="113">
        <f>J6+K6</f>
        <v>2999500.691438192</v>
      </c>
    </row>
    <row r="7" spans="1:12" ht="12.75">
      <c r="A7" s="4"/>
      <c r="B7" s="9"/>
      <c r="C7" s="6">
        <f>C6-(C5*1/12)</f>
        <v>550000000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6985000</v>
      </c>
      <c r="G7" s="193"/>
      <c r="H7" s="66" t="s">
        <v>33</v>
      </c>
      <c r="I7" s="7">
        <f>I6</f>
        <v>166.66666666666666</v>
      </c>
      <c r="J7" s="105">
        <f>J6</f>
        <v>2999500.691438192</v>
      </c>
      <c r="K7" s="113"/>
      <c r="L7" s="113">
        <f aca="true" t="shared" si="2" ref="L7:L17">J7+K7</f>
        <v>2999500.691438192</v>
      </c>
    </row>
    <row r="8" spans="1:12" ht="12.75">
      <c r="A8" s="4"/>
      <c r="B8" s="9"/>
      <c r="C8" s="6">
        <f>C7-(C5*1/12)</f>
        <v>500000000</v>
      </c>
      <c r="D8" s="27">
        <f aca="true" t="shared" si="3" ref="D8:D17">D7+1</f>
        <v>3</v>
      </c>
      <c r="E8" s="29">
        <f t="shared" si="0"/>
        <v>2.54</v>
      </c>
      <c r="F8" s="192">
        <f t="shared" si="1"/>
        <v>4233333.333333333</v>
      </c>
      <c r="G8" s="193"/>
      <c r="H8" s="66" t="s">
        <v>34</v>
      </c>
      <c r="I8" s="7">
        <f aca="true" t="shared" si="4" ref="I8:J17">I7</f>
        <v>166.66666666666666</v>
      </c>
      <c r="J8" s="105">
        <f t="shared" si="4"/>
        <v>2999500.691438192</v>
      </c>
      <c r="K8" s="113"/>
      <c r="L8" s="113">
        <f t="shared" si="2"/>
        <v>2999500.691438192</v>
      </c>
    </row>
    <row r="9" spans="1:12" ht="12.75">
      <c r="A9" s="4"/>
      <c r="B9" s="9"/>
      <c r="C9" s="6">
        <f>C8-(C5*1/12)</f>
        <v>450000000</v>
      </c>
      <c r="D9" s="27">
        <f t="shared" si="3"/>
        <v>4</v>
      </c>
      <c r="E9" s="29">
        <f t="shared" si="0"/>
        <v>2.54</v>
      </c>
      <c r="F9" s="192">
        <f t="shared" si="1"/>
        <v>2857500</v>
      </c>
      <c r="G9" s="193"/>
      <c r="H9" s="66" t="s">
        <v>35</v>
      </c>
      <c r="I9" s="7">
        <f t="shared" si="4"/>
        <v>166.66666666666666</v>
      </c>
      <c r="J9" s="105">
        <f t="shared" si="4"/>
        <v>2999500.691438192</v>
      </c>
      <c r="K9" s="113"/>
      <c r="L9" s="113">
        <f t="shared" si="2"/>
        <v>2999500.691438192</v>
      </c>
    </row>
    <row r="10" spans="1:12" ht="12.75">
      <c r="A10" s="4"/>
      <c r="B10" s="9"/>
      <c r="C10" s="6">
        <f>C9-(C5*1/12)</f>
        <v>400000000</v>
      </c>
      <c r="D10" s="27">
        <f t="shared" si="3"/>
        <v>5</v>
      </c>
      <c r="E10" s="29">
        <f t="shared" si="0"/>
        <v>2.54</v>
      </c>
      <c r="F10" s="192">
        <f t="shared" si="1"/>
        <v>2032000</v>
      </c>
      <c r="G10" s="193"/>
      <c r="H10" s="66" t="s">
        <v>36</v>
      </c>
      <c r="I10" s="7">
        <f t="shared" si="4"/>
        <v>166.66666666666666</v>
      </c>
      <c r="J10" s="105">
        <f t="shared" si="4"/>
        <v>2999500.691438192</v>
      </c>
      <c r="K10" s="113"/>
      <c r="L10" s="113">
        <f t="shared" si="2"/>
        <v>2999500.691438192</v>
      </c>
    </row>
    <row r="11" spans="1:12" ht="12.75">
      <c r="A11" s="4"/>
      <c r="B11" s="9"/>
      <c r="C11" s="6">
        <f>C10-(C5*1/12)</f>
        <v>350000000</v>
      </c>
      <c r="D11" s="27">
        <f t="shared" si="3"/>
        <v>6</v>
      </c>
      <c r="E11" s="29">
        <f t="shared" si="0"/>
        <v>2.54</v>
      </c>
      <c r="F11" s="192">
        <f t="shared" si="1"/>
        <v>1481666.6666666667</v>
      </c>
      <c r="G11" s="193"/>
      <c r="H11" s="66" t="s">
        <v>37</v>
      </c>
      <c r="I11" s="7">
        <f t="shared" si="4"/>
        <v>166.66666666666666</v>
      </c>
      <c r="J11" s="105">
        <f t="shared" si="4"/>
        <v>2999500.691438192</v>
      </c>
      <c r="K11" s="113"/>
      <c r="L11" s="113">
        <f t="shared" si="2"/>
        <v>2999500.691438192</v>
      </c>
    </row>
    <row r="12" spans="1:12" ht="12.75">
      <c r="A12" s="4"/>
      <c r="B12" s="9"/>
      <c r="C12" s="6">
        <f>C11-(C5*1/12)</f>
        <v>300000000</v>
      </c>
      <c r="D12" s="27">
        <f t="shared" si="3"/>
        <v>7</v>
      </c>
      <c r="E12" s="29">
        <f t="shared" si="0"/>
        <v>2.54</v>
      </c>
      <c r="F12" s="192">
        <f t="shared" si="1"/>
        <v>1088571.4285714286</v>
      </c>
      <c r="G12" s="193"/>
      <c r="H12" s="66" t="s">
        <v>38</v>
      </c>
      <c r="I12" s="7">
        <f t="shared" si="4"/>
        <v>166.66666666666666</v>
      </c>
      <c r="J12" s="105">
        <f t="shared" si="4"/>
        <v>2999500.691438192</v>
      </c>
      <c r="K12" s="113"/>
      <c r="L12" s="113">
        <f t="shared" si="2"/>
        <v>2999500.691438192</v>
      </c>
    </row>
    <row r="13" spans="1:12" ht="12.75">
      <c r="A13" s="4"/>
      <c r="B13" s="9"/>
      <c r="C13" s="6">
        <f>C12-(C5*1/12)</f>
        <v>250000000</v>
      </c>
      <c r="D13" s="27">
        <f t="shared" si="3"/>
        <v>8</v>
      </c>
      <c r="E13" s="29">
        <f t="shared" si="0"/>
        <v>2.54</v>
      </c>
      <c r="F13" s="192">
        <f t="shared" si="1"/>
        <v>793750</v>
      </c>
      <c r="G13" s="193"/>
      <c r="H13" s="66" t="s">
        <v>39</v>
      </c>
      <c r="I13" s="7">
        <f t="shared" si="4"/>
        <v>166.66666666666666</v>
      </c>
      <c r="J13" s="105">
        <f t="shared" si="4"/>
        <v>2999500.691438192</v>
      </c>
      <c r="K13" s="113"/>
      <c r="L13" s="113">
        <f t="shared" si="2"/>
        <v>2999500.691438192</v>
      </c>
    </row>
    <row r="14" spans="1:12" ht="12.75">
      <c r="A14" s="4"/>
      <c r="B14" s="9"/>
      <c r="C14" s="6">
        <f>C13-(C5*1/12)</f>
        <v>200000000</v>
      </c>
      <c r="D14" s="27">
        <f t="shared" si="3"/>
        <v>9</v>
      </c>
      <c r="E14" s="29">
        <f t="shared" si="0"/>
        <v>2.54</v>
      </c>
      <c r="F14" s="192">
        <f t="shared" si="1"/>
        <v>564444.4444444445</v>
      </c>
      <c r="G14" s="193"/>
      <c r="H14" s="66" t="s">
        <v>40</v>
      </c>
      <c r="I14" s="7">
        <f t="shared" si="4"/>
        <v>166.66666666666666</v>
      </c>
      <c r="J14" s="105">
        <f t="shared" si="4"/>
        <v>2999500.691438192</v>
      </c>
      <c r="K14" s="113"/>
      <c r="L14" s="113">
        <f t="shared" si="2"/>
        <v>2999500.691438192</v>
      </c>
    </row>
    <row r="15" spans="1:12" ht="12.75">
      <c r="A15" s="4"/>
      <c r="B15" s="9"/>
      <c r="C15" s="6">
        <f>C14-(C5*1/12)</f>
        <v>150000000</v>
      </c>
      <c r="D15" s="27">
        <f t="shared" si="3"/>
        <v>10</v>
      </c>
      <c r="E15" s="29">
        <f t="shared" si="0"/>
        <v>2.54</v>
      </c>
      <c r="F15" s="192">
        <f t="shared" si="1"/>
        <v>381000</v>
      </c>
      <c r="G15" s="193"/>
      <c r="H15" s="66" t="s">
        <v>41</v>
      </c>
      <c r="I15" s="7">
        <f t="shared" si="4"/>
        <v>166.66666666666666</v>
      </c>
      <c r="J15" s="105">
        <f t="shared" si="4"/>
        <v>2999500.691438192</v>
      </c>
      <c r="K15" s="113"/>
      <c r="L15" s="113">
        <f t="shared" si="2"/>
        <v>2999500.691438192</v>
      </c>
    </row>
    <row r="16" spans="1:12" ht="12.75">
      <c r="A16" s="4"/>
      <c r="B16" s="9"/>
      <c r="C16" s="6">
        <f>C15-(C5*1/12)</f>
        <v>100000000</v>
      </c>
      <c r="D16" s="27">
        <f t="shared" si="3"/>
        <v>11</v>
      </c>
      <c r="E16" s="29">
        <f t="shared" si="0"/>
        <v>2.54</v>
      </c>
      <c r="F16" s="192">
        <f t="shared" si="1"/>
        <v>230909.0909090909</v>
      </c>
      <c r="G16" s="193"/>
      <c r="H16" s="66" t="s">
        <v>42</v>
      </c>
      <c r="I16" s="7">
        <f t="shared" si="4"/>
        <v>166.66666666666666</v>
      </c>
      <c r="J16" s="105">
        <f t="shared" si="4"/>
        <v>2999500.691438192</v>
      </c>
      <c r="K16" s="113"/>
      <c r="L16" s="113">
        <f t="shared" si="2"/>
        <v>2999500.691438192</v>
      </c>
    </row>
    <row r="17" spans="1:12" ht="13.5" thickBot="1">
      <c r="A17" s="4"/>
      <c r="B17" s="9"/>
      <c r="C17" s="6">
        <f>C16-(C5*1/12)</f>
        <v>50000000</v>
      </c>
      <c r="D17" s="27">
        <f t="shared" si="3"/>
        <v>12</v>
      </c>
      <c r="E17" s="30">
        <f t="shared" si="0"/>
        <v>2.54</v>
      </c>
      <c r="F17" s="194">
        <f t="shared" si="1"/>
        <v>105833.33333333333</v>
      </c>
      <c r="G17" s="195"/>
      <c r="H17" s="67" t="s">
        <v>43</v>
      </c>
      <c r="I17" s="68">
        <f t="shared" si="4"/>
        <v>166.66666666666666</v>
      </c>
      <c r="J17" s="105">
        <f t="shared" si="4"/>
        <v>2999500.691438192</v>
      </c>
      <c r="K17" s="114"/>
      <c r="L17" s="113">
        <f t="shared" si="2"/>
        <v>2999500.691438192</v>
      </c>
    </row>
    <row r="18" spans="1:12" ht="12.75">
      <c r="A18" s="4"/>
      <c r="B18" s="9"/>
      <c r="C18" s="6"/>
      <c r="D18" s="5"/>
      <c r="E18" s="33"/>
      <c r="F18" s="206">
        <f>SUM(F6:G17)</f>
        <v>35994008.2972583</v>
      </c>
      <c r="G18" s="207"/>
      <c r="H18" s="69">
        <f>F18/1000000000</f>
        <v>0.0359940082972583</v>
      </c>
      <c r="I18" s="65">
        <f>SUM(I6:I17)</f>
        <v>2000.0000000000002</v>
      </c>
      <c r="J18" s="106">
        <f>SUM(J6:J17)</f>
        <v>35994008.297258295</v>
      </c>
      <c r="K18" s="115">
        <f>D28*1000000000</f>
        <v>600000000</v>
      </c>
      <c r="L18" s="115">
        <f>SUM(J18:K18)</f>
        <v>635994008.2972583</v>
      </c>
    </row>
    <row r="19" spans="1:12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5.999001382876384</v>
      </c>
      <c r="G19" s="209"/>
      <c r="H19" s="63"/>
      <c r="I19" s="71" t="s">
        <v>46</v>
      </c>
      <c r="J19" s="61" t="s">
        <v>45</v>
      </c>
      <c r="K19" s="116" t="s">
        <v>45</v>
      </c>
      <c r="L19" s="116" t="s">
        <v>45</v>
      </c>
    </row>
    <row r="20" spans="1:12" ht="12.75">
      <c r="A20" s="4"/>
      <c r="B20" s="9"/>
      <c r="C20" s="6">
        <f>C5</f>
        <v>600000000</v>
      </c>
      <c r="D20" s="27"/>
      <c r="E20" s="35">
        <f>F19</f>
        <v>5.999001382876384</v>
      </c>
      <c r="F20" s="210">
        <f>C20*E20/100</f>
        <v>35994008.2972583</v>
      </c>
      <c r="G20" s="211"/>
      <c r="H20" s="57">
        <f>F20/1000000000</f>
        <v>0.0359940082972583</v>
      </c>
      <c r="I20" s="70"/>
      <c r="J20" s="59">
        <f>J18/1000000000</f>
        <v>0.035994008297258295</v>
      </c>
      <c r="K20" s="117">
        <f>K18/1000000000</f>
        <v>0.6</v>
      </c>
      <c r="L20" s="117">
        <f>L18/1000000000</f>
        <v>0.6359940082972583</v>
      </c>
    </row>
    <row r="21" spans="1:12" ht="13.5" thickBot="1">
      <c r="A21" s="11"/>
      <c r="B21" s="12"/>
      <c r="C21" s="12"/>
      <c r="D21" s="24"/>
      <c r="E21" s="36"/>
      <c r="F21" s="182" t="s">
        <v>10</v>
      </c>
      <c r="G21" s="181"/>
      <c r="H21" s="58" t="s">
        <v>6</v>
      </c>
      <c r="I21" s="25"/>
      <c r="J21" s="58" t="s">
        <v>6</v>
      </c>
      <c r="K21" s="118" t="s">
        <v>6</v>
      </c>
      <c r="L21" s="118" t="s">
        <v>6</v>
      </c>
    </row>
    <row r="22" spans="1:9" ht="13.5" thickBot="1">
      <c r="A22" s="40"/>
      <c r="B22" s="41"/>
      <c r="C22" s="41"/>
      <c r="D22" s="41"/>
      <c r="E22" s="41"/>
      <c r="F22" s="42"/>
      <c r="G22" s="42"/>
      <c r="H22" s="43"/>
      <c r="I22" s="41"/>
    </row>
    <row r="23" spans="1:9" ht="13.5" thickBot="1">
      <c r="A23" s="237" t="s">
        <v>139</v>
      </c>
      <c r="B23" s="238"/>
      <c r="C23" s="238"/>
      <c r="D23" s="239"/>
      <c r="E23" s="41"/>
      <c r="F23" s="42"/>
      <c r="G23" s="42"/>
      <c r="H23" s="43"/>
      <c r="I23" s="41"/>
    </row>
    <row r="24" spans="1:4" s="1" customFormat="1" ht="24.75" customHeight="1">
      <c r="A24" s="119" t="s">
        <v>140</v>
      </c>
      <c r="B24" s="120" t="s">
        <v>16</v>
      </c>
      <c r="C24" s="120" t="s">
        <v>18</v>
      </c>
      <c r="D24" s="121" t="s">
        <v>6</v>
      </c>
    </row>
    <row r="25" spans="1:4" ht="13.5" thickBot="1">
      <c r="A25" s="122">
        <v>1000000</v>
      </c>
      <c r="B25" s="123">
        <v>120</v>
      </c>
      <c r="C25" s="123">
        <f>A25*B25</f>
        <v>120000000</v>
      </c>
      <c r="D25" s="124">
        <f>C25/1000000000</f>
        <v>0.12</v>
      </c>
    </row>
    <row r="26" spans="1:4" ht="25.5">
      <c r="A26" s="119" t="s">
        <v>141</v>
      </c>
      <c r="B26" s="125"/>
      <c r="C26" s="125"/>
      <c r="D26" s="126"/>
    </row>
    <row r="27" spans="1:4" ht="12.75">
      <c r="A27" s="127">
        <v>1000000</v>
      </c>
      <c r="B27" s="128">
        <f>40*12</f>
        <v>480</v>
      </c>
      <c r="C27" s="128">
        <f>A27*B27</f>
        <v>480000000</v>
      </c>
      <c r="D27" s="129">
        <f>C27/1000000000</f>
        <v>0.48</v>
      </c>
    </row>
    <row r="28" spans="1:4" ht="13.5" thickBot="1">
      <c r="A28" s="130" t="s">
        <v>22</v>
      </c>
      <c r="B28" s="131"/>
      <c r="C28" s="131">
        <f>SUM(C27:C27)</f>
        <v>480000000</v>
      </c>
      <c r="D28" s="132">
        <f>SUM(D25:D27)</f>
        <v>0.6</v>
      </c>
    </row>
  </sheetData>
  <mergeCells count="20">
    <mergeCell ref="F19:G19"/>
    <mergeCell ref="F20:G20"/>
    <mergeCell ref="F21:G21"/>
    <mergeCell ref="A23:D23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A1:I1"/>
    <mergeCell ref="F4:G4"/>
    <mergeCell ref="F5:G5"/>
    <mergeCell ref="F6:G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DALESSANDRO GIACOMO</dc:creator>
  <cp:keywords/>
  <dc:description/>
  <cp:lastModifiedBy>DALESSANDRO GIACOMO</cp:lastModifiedBy>
  <dcterms:created xsi:type="dcterms:W3CDTF">2008-11-26T04:51:17Z</dcterms:created>
  <dcterms:modified xsi:type="dcterms:W3CDTF">2008-12-04T16:07:19Z</dcterms:modified>
  <cp:category/>
  <cp:version/>
  <cp:contentType/>
  <cp:contentStatus/>
</cp:coreProperties>
</file>